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1290" windowWidth="21600" windowHeight="11385" activeTab="0"/>
  </bookViews>
  <sheets>
    <sheet name="Arkusz obliczeniowy" sheetId="1" r:id="rId1"/>
    <sheet name="Arkusz obliczeniowy 2" sheetId="2" state="hidden" r:id="rId2"/>
    <sheet name="Rodzaj urządzeń" sheetId="3" state="hidden" r:id="rId3"/>
    <sheet name="Wielkość urządzeń i stawki" sheetId="4" state="hidden" r:id="rId4"/>
    <sheet name="Stawki - działalność" sheetId="5" state="hidden" r:id="rId5"/>
    <sheet name="Ilość odbioru odpadów" sheetId="6" state="hidden" r:id="rId6"/>
  </sheets>
  <definedNames>
    <definedName name="_xlnm.Print_Area" localSheetId="0">'Arkusz obliczeniowy'!$A$1:$H$54</definedName>
    <definedName name="_xlnm.Print_Area" localSheetId="1">'Arkusz obliczeniowy 2'!$A$3:$F$45</definedName>
  </definedNames>
  <calcPr fullCalcOnLoad="1"/>
</workbook>
</file>

<file path=xl/sharedStrings.xml><?xml version="1.0" encoding="utf-8"?>
<sst xmlns="http://schemas.openxmlformats.org/spreadsheetml/2006/main" count="208" uniqueCount="72">
  <si>
    <t>Wielkość pojemnika wyrażona w litrach</t>
  </si>
  <si>
    <t>Stawka za odpady segregowane na osobę</t>
  </si>
  <si>
    <t>Stawka za odpady niesegregowane na osobę</t>
  </si>
  <si>
    <t>jednostka</t>
  </si>
  <si>
    <t>Stawka za odpady segregowane do 31.12.2020 r.</t>
  </si>
  <si>
    <t>Stawka za odpady niesegregowane do 31.12.2020 r.</t>
  </si>
  <si>
    <t>Kolumna1</t>
  </si>
  <si>
    <t>worek</t>
  </si>
  <si>
    <t>Średni rozporządzalny dochód brutto</t>
  </si>
  <si>
    <t>przeciętny miesięczny dochód rozporządzalny na 1 osobę ogółem</t>
  </si>
  <si>
    <t>Maksymalna opłata za pojemnik 1100 l</t>
  </si>
  <si>
    <t>Stawka maksymalna przy segregacji</t>
  </si>
  <si>
    <t>Stawka za</t>
  </si>
  <si>
    <t>Jednostek</t>
  </si>
  <si>
    <t>stawka za litr</t>
  </si>
  <si>
    <t>Maksymalna opłata za worek 120l</t>
  </si>
  <si>
    <t>Worek</t>
  </si>
  <si>
    <t>zł/120l</t>
  </si>
  <si>
    <t>litrów</t>
  </si>
  <si>
    <t>Pojemnik</t>
  </si>
  <si>
    <t>zł/1100l</t>
  </si>
  <si>
    <t>pojemnik</t>
  </si>
  <si>
    <t>zł</t>
  </si>
  <si>
    <t>zł/litr</t>
  </si>
  <si>
    <t>Odpady zmieszane</t>
  </si>
  <si>
    <t>Rodzaj urządzenia do zbierania odpadów</t>
  </si>
  <si>
    <t>Stawka opłaty</t>
  </si>
  <si>
    <t>Opłata miesięczna</t>
  </si>
  <si>
    <t>Opłata razem:</t>
  </si>
  <si>
    <t>Rodzaj urządzenia dla odpadów zmieszanych</t>
  </si>
  <si>
    <t>Metale i tworzywa Sztuczne, SZKŁO, PAPIER</t>
  </si>
  <si>
    <t>BIO</t>
  </si>
  <si>
    <t>Kompostownik</t>
  </si>
  <si>
    <t>Metale i tworzywa sztuczne</t>
  </si>
  <si>
    <t>Papier</t>
  </si>
  <si>
    <t>Szkło</t>
  </si>
  <si>
    <t>Popiół</t>
  </si>
  <si>
    <t>BIO-odpady</t>
  </si>
  <si>
    <t>Pojemność pojemnika lub worka w litrach</t>
  </si>
  <si>
    <t>Rodzaj odpadu</t>
  </si>
  <si>
    <t>Ilość odbiorów w roku</t>
  </si>
  <si>
    <t>średnia ilość odbioró na miesiąc</t>
  </si>
  <si>
    <t>Ilość posiadanych pojemników</t>
  </si>
  <si>
    <t>Zmieszane</t>
  </si>
  <si>
    <t>Ilość pojemników/worków opróżnianych miesięcznie*</t>
  </si>
  <si>
    <t>Wielkość</t>
  </si>
  <si>
    <t>Stawka dla pojemnika</t>
  </si>
  <si>
    <t>Stawka dla worka</t>
  </si>
  <si>
    <t>Zbyt duży worek</t>
  </si>
  <si>
    <t>Uwagi</t>
  </si>
  <si>
    <t>Opłata miesięczna za pojemniki razem wynosi:</t>
  </si>
  <si>
    <t>Arkusz obliczeniowy wysokości opłaty za gospodarowanie odpadami komunalnymi za pojemnik 
(dotyczy nieruchomości niezamieszkałych oraz mieszanych w części niezamieszkałej)</t>
  </si>
  <si>
    <t>Ilość odbiorów odpadów w ciągu roku</t>
  </si>
  <si>
    <t>Arkusz obliczeniowy wysokości opłaty za gospodarowanie odpadami komunalnymi za pojemniki 
(dotyczy nieruchomości niezamieszkałych oraz mieszanych w części niezamieszkałej)</t>
  </si>
  <si>
    <t>Stawka opłaty za jednorazowy odbiór pojemnika/worka [zł]</t>
  </si>
  <si>
    <t>Miesięczna ysokość opłaty
[zł/miesiąc]</t>
  </si>
  <si>
    <t>Adres nieruchomości:</t>
  </si>
  <si>
    <t>Ilość odbiorów odpadów 
w ciągu roku</t>
  </si>
  <si>
    <t>Nazwisko i imię/ Pełna nazwa</t>
  </si>
  <si>
    <t>&gt;1500</t>
  </si>
  <si>
    <t>Miesięczna wysokość opłaty
[zł/miesiąc]</t>
  </si>
  <si>
    <t>Średnia ilość odbiorów na miesiąc</t>
  </si>
  <si>
    <t>W deklaracji
kolumna 
1 od lewej</t>
  </si>
  <si>
    <t>W deklaracji kolumna 
2 od lewej</t>
  </si>
  <si>
    <t>w deklaracji kolumna c 
(5 od lewej)</t>
  </si>
  <si>
    <t>W deklaracji 
kolumna b  
(4 od lewej</t>
  </si>
  <si>
    <t>W deklaracji 
kolumna a 
(3 od lewej)</t>
  </si>
  <si>
    <r>
      <t>Liczba pojemników/worków deklarowanych do odbioru zgodnie z harmonogramem wywozu odpadów [szt/miesiąc]</t>
    </r>
    <r>
      <rPr>
        <b/>
        <vertAlign val="superscript"/>
        <sz val="11"/>
        <color indexed="9"/>
        <rFont val="Calibri"/>
        <family val="2"/>
      </rPr>
      <t>1</t>
    </r>
  </si>
  <si>
    <r>
      <t>Uwagi</t>
    </r>
    <r>
      <rPr>
        <b/>
        <vertAlign val="superscript"/>
        <sz val="11"/>
        <color indexed="9"/>
        <rFont val="Calibri"/>
        <family val="2"/>
      </rPr>
      <t>2</t>
    </r>
  </si>
  <si>
    <r>
      <t>Liczba pojemników/worków deklarowanych do odbioru zgodnie z harmonogramem wywozu odpadów [szt/miesiąc]</t>
    </r>
    <r>
      <rPr>
        <b/>
        <vertAlign val="superscript"/>
        <sz val="11"/>
        <color indexed="9"/>
        <rFont val="Calibri"/>
        <family val="2"/>
      </rPr>
      <t>1</t>
    </r>
    <r>
      <rPr>
        <b/>
        <sz val="11"/>
        <color indexed="9"/>
        <rFont val="Calibri"/>
        <family val="2"/>
      </rPr>
      <t xml:space="preserve">
[6]=[3]*[5]</t>
    </r>
  </si>
  <si>
    <t xml:space="preserve">W poniższej tabeli należy wypełnić kolumny 1, 2 i 3, a do deklaracji zgodnie z poniższym opisem wpisać wartości z kolumn 1, 2, 6, 7 i 8
W kolumnie 9 (Uwagi) w przypadku proawidłowo wypełnienienia arkusza nie powinno być uwag.
(przed wypełnieniem należy zapoznać się z objaśnieniami znajdującymi się na końcu arkusza)
</t>
  </si>
  <si>
    <r>
      <t xml:space="preserve">Objaśnienia:
Wysokości opłaty za pojemniki dla nieruchomości niezamieszakałych i częściowo niezamieszkałych, na których wytwarzane są odpady komunalne obliczana jest jako iloczyn liczby pojemników/worków deklarowanych do odbioru zgodnie z harmonogramem w szt/miesiąc oraz stawki opłaty uzależnionej od rodzaju urządzenia do zbierania odpadów i jego pojemności.
Liczby pojemników/worków deklarowanych do odbioru zgodnie z harmonogramem w szt/miesiąc obliczana jest jako iloczyn liczby posiadanych urządzeń do zbierania odpadów oraz średnią ilość odbiorów na miesiąc.
</t>
    </r>
    <r>
      <rPr>
        <b/>
        <sz val="11"/>
        <color indexed="8"/>
        <rFont val="Calibri"/>
        <family val="2"/>
      </rPr>
      <t xml:space="preserve">W poniższym arkuszu uzupełniamy zgodnie z poniższym oznaczemniem kolumnę 1,2 i 3, 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a w deklaracji wpisujemy zgodnie z poniższym oznaczeniem wartość z kolumny 1,2,6,7 i 8
Wszystkie nieruchomości muszą być wyposażone w urządzenia do zbierania odpadów 1. zmieszanyc, 2. Metali i tworzyw sztucznych, 3. Szkła, 4. Papieru, 5. BIO-odpadów i 
6. dodatkowo w zależności od zapotrzebowania w pojemnik do zbierania popiołu.
W kolumnie rodzaj urządzenia należy wpisać: pojemnik, worek, kompostownik zgodnie z poniższym objaśnieniem. 
1. zmieszane i popiół zbierane są w pojemniki, 
2. Metale i tworzywa sztuczne, szkło oraz papier zbierane są w pojemniki lub worki, 
3. BIO-odpady zbierane są w pojemniki lub kompostowniki.
Dopuszczalne pojemności pojemników to 60, 80, 120, 240, 360, 660, 1100, 1500 i więcej litrów , 
a worków 60, 80, 120 i 240 litrów 
Wielkości urządzeń do zbierania odpadów muszą być zgodne z Regulaminem utrzymania czystości i porządku na terenie Gminy Lipusz 
</t>
    </r>
    <r>
      <rPr>
        <sz val="11"/>
        <color theme="1"/>
        <rFont val="Calibri"/>
        <family val="2"/>
      </rPr>
      <t>1) Jest to średnia ilość opróżnianych pojemników i worków w miesiącu obliczana jako ilość posiadanych pojemników * ilość odbiorów w ciągu roku / 12 miesięcy
2) W prawidłowo wypełnionym arkuszu nie powinno być uwag i na końcu powinna być podana wysokość opłaty miesięcznej za pojemniki razem.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</si>
</sst>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0.0000"/>
    <numFmt numFmtId="166" formatCode="??/12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6"/>
      <color indexed="9"/>
      <name val="Calibri"/>
      <family val="2"/>
    </font>
    <font>
      <b/>
      <i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6"/>
      <color theme="0"/>
      <name val="Calibri"/>
      <family val="2"/>
    </font>
    <font>
      <b/>
      <i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/>
      <top style="thick">
        <color theme="0"/>
      </top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ck">
        <color theme="0"/>
      </top>
      <bottom/>
    </border>
    <border>
      <left/>
      <right/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ck">
        <color theme="0"/>
      </top>
      <bottom/>
    </border>
    <border>
      <left style="thin"/>
      <right style="thin"/>
      <top/>
      <bottom/>
    </border>
    <border>
      <left style="thin">
        <color theme="0"/>
      </left>
      <right/>
      <top/>
      <bottom style="thin">
        <color theme="0"/>
      </bottom>
    </border>
    <border>
      <left style="thin"/>
      <right style="thin"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/>
      <top style="thin">
        <color theme="0"/>
      </top>
      <bottom style="thin">
        <color theme="0"/>
      </bottom>
    </border>
    <border>
      <left style="thin"/>
      <right/>
      <top/>
      <bottom/>
    </border>
    <border>
      <left style="thin"/>
      <right/>
      <top style="thin">
        <color theme="0"/>
      </top>
      <bottom/>
    </border>
    <border>
      <left style="thin"/>
      <right/>
      <top style="thick">
        <color theme="0"/>
      </top>
      <bottom/>
    </border>
    <border>
      <left style="thin">
        <color theme="0"/>
      </left>
      <right/>
      <top style="thin">
        <color theme="0"/>
      </top>
      <bottom style="thick">
        <color theme="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Alignment="1">
      <alignment textRotation="90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27" fillId="33" borderId="10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27" fillId="36" borderId="10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27" fillId="38" borderId="10" xfId="0" applyFont="1" applyFill="1" applyBorder="1" applyAlignment="1">
      <alignment/>
    </xf>
    <xf numFmtId="0" fontId="27" fillId="39" borderId="10" xfId="0" applyFont="1" applyFill="1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38" fillId="23" borderId="0" xfId="0" applyFont="1" applyFill="1" applyAlignment="1">
      <alignment/>
    </xf>
    <xf numFmtId="0" fontId="38" fillId="40" borderId="0" xfId="0" applyFont="1" applyFill="1" applyAlignment="1">
      <alignment/>
    </xf>
    <xf numFmtId="0" fontId="38" fillId="20" borderId="0" xfId="0" applyFont="1" applyFill="1" applyAlignment="1">
      <alignment/>
    </xf>
    <xf numFmtId="0" fontId="38" fillId="25" borderId="0" xfId="0" applyFont="1" applyFill="1" applyAlignment="1">
      <alignment/>
    </xf>
    <xf numFmtId="0" fontId="38" fillId="41" borderId="0" xfId="0" applyFont="1" applyFill="1" applyAlignment="1">
      <alignment/>
    </xf>
    <xf numFmtId="0" fontId="38" fillId="21" borderId="0" xfId="0" applyFont="1" applyFill="1" applyAlignment="1">
      <alignment/>
    </xf>
    <xf numFmtId="0" fontId="33" fillId="0" borderId="0" xfId="0" applyFont="1" applyAlignment="1">
      <alignment/>
    </xf>
    <xf numFmtId="0" fontId="0" fillId="37" borderId="12" xfId="0" applyNumberFormat="1" applyFont="1" applyFill="1" applyBorder="1" applyAlignment="1">
      <alignment/>
    </xf>
    <xf numFmtId="0" fontId="0" fillId="42" borderId="12" xfId="0" applyNumberFormat="1" applyFont="1" applyFill="1" applyBorder="1" applyAlignment="1">
      <alignment/>
    </xf>
    <xf numFmtId="0" fontId="27" fillId="33" borderId="13" xfId="0" applyFont="1" applyFill="1" applyBorder="1" applyAlignment="1">
      <alignment/>
    </xf>
    <xf numFmtId="0" fontId="27" fillId="33" borderId="10" xfId="0" applyFont="1" applyFill="1" applyBorder="1" applyAlignment="1">
      <alignment horizontal="right"/>
    </xf>
    <xf numFmtId="0" fontId="0" fillId="43" borderId="12" xfId="0" applyNumberFormat="1" applyFont="1" applyFill="1" applyBorder="1" applyAlignment="1">
      <alignment/>
    </xf>
    <xf numFmtId="0" fontId="0" fillId="44" borderId="12" xfId="0" applyNumberFormat="1" applyFont="1" applyFill="1" applyBorder="1" applyAlignment="1">
      <alignment/>
    </xf>
    <xf numFmtId="0" fontId="27" fillId="34" borderId="13" xfId="0" applyFont="1" applyFill="1" applyBorder="1" applyAlignment="1">
      <alignment/>
    </xf>
    <xf numFmtId="0" fontId="27" fillId="34" borderId="10" xfId="0" applyFont="1" applyFill="1" applyBorder="1" applyAlignment="1">
      <alignment horizontal="right"/>
    </xf>
    <xf numFmtId="0" fontId="0" fillId="45" borderId="12" xfId="0" applyNumberFormat="1" applyFont="1" applyFill="1" applyBorder="1" applyAlignment="1">
      <alignment/>
    </xf>
    <xf numFmtId="0" fontId="0" fillId="46" borderId="12" xfId="0" applyNumberFormat="1" applyFont="1" applyFill="1" applyBorder="1" applyAlignment="1">
      <alignment/>
    </xf>
    <xf numFmtId="0" fontId="27" fillId="35" borderId="13" xfId="0" applyFont="1" applyFill="1" applyBorder="1" applyAlignment="1">
      <alignment/>
    </xf>
    <xf numFmtId="0" fontId="27" fillId="35" borderId="10" xfId="0" applyFont="1" applyFill="1" applyBorder="1" applyAlignment="1">
      <alignment horizontal="right"/>
    </xf>
    <xf numFmtId="0" fontId="0" fillId="47" borderId="12" xfId="0" applyNumberFormat="1" applyFont="1" applyFill="1" applyBorder="1" applyAlignment="1">
      <alignment/>
    </xf>
    <xf numFmtId="0" fontId="0" fillId="48" borderId="12" xfId="0" applyNumberFormat="1" applyFont="1" applyFill="1" applyBorder="1" applyAlignment="1">
      <alignment/>
    </xf>
    <xf numFmtId="0" fontId="27" fillId="36" borderId="13" xfId="0" applyFont="1" applyFill="1" applyBorder="1" applyAlignment="1">
      <alignment/>
    </xf>
    <xf numFmtId="0" fontId="27" fillId="36" borderId="10" xfId="0" applyFont="1" applyFill="1" applyBorder="1" applyAlignment="1">
      <alignment horizontal="right"/>
    </xf>
    <xf numFmtId="0" fontId="0" fillId="49" borderId="12" xfId="0" applyNumberFormat="1" applyFont="1" applyFill="1" applyBorder="1" applyAlignment="1">
      <alignment/>
    </xf>
    <xf numFmtId="0" fontId="0" fillId="50" borderId="12" xfId="0" applyNumberFormat="1" applyFont="1" applyFill="1" applyBorder="1" applyAlignment="1">
      <alignment/>
    </xf>
    <xf numFmtId="0" fontId="27" fillId="38" borderId="13" xfId="0" applyFont="1" applyFill="1" applyBorder="1" applyAlignment="1">
      <alignment/>
    </xf>
    <xf numFmtId="0" fontId="27" fillId="38" borderId="10" xfId="0" applyFont="1" applyFill="1" applyBorder="1" applyAlignment="1">
      <alignment horizontal="right"/>
    </xf>
    <xf numFmtId="0" fontId="27" fillId="39" borderId="13" xfId="0" applyFont="1" applyFill="1" applyBorder="1" applyAlignment="1">
      <alignment/>
    </xf>
    <xf numFmtId="0" fontId="27" fillId="39" borderId="10" xfId="0" applyFont="1" applyFill="1" applyBorder="1" applyAlignment="1">
      <alignment horizontal="right"/>
    </xf>
    <xf numFmtId="164" fontId="33" fillId="0" borderId="0" xfId="0" applyNumberFormat="1" applyFont="1" applyAlignment="1">
      <alignment/>
    </xf>
    <xf numFmtId="164" fontId="27" fillId="39" borderId="10" xfId="0" applyNumberFormat="1" applyFont="1" applyFill="1" applyBorder="1" applyAlignment="1">
      <alignment/>
    </xf>
    <xf numFmtId="164" fontId="0" fillId="49" borderId="12" xfId="0" applyNumberFormat="1" applyFont="1" applyFill="1" applyBorder="1" applyAlignment="1">
      <alignment/>
    </xf>
    <xf numFmtId="164" fontId="0" fillId="50" borderId="12" xfId="0" applyNumberFormat="1" applyFont="1" applyFill="1" applyBorder="1" applyAlignment="1">
      <alignment/>
    </xf>
    <xf numFmtId="164" fontId="27" fillId="38" borderId="10" xfId="0" applyNumberFormat="1" applyFont="1" applyFill="1" applyBorder="1" applyAlignment="1">
      <alignment/>
    </xf>
    <xf numFmtId="164" fontId="0" fillId="47" borderId="12" xfId="0" applyNumberFormat="1" applyFont="1" applyFill="1" applyBorder="1" applyAlignment="1">
      <alignment/>
    </xf>
    <xf numFmtId="164" fontId="0" fillId="48" borderId="12" xfId="0" applyNumberFormat="1" applyFont="1" applyFill="1" applyBorder="1" applyAlignment="1">
      <alignment/>
    </xf>
    <xf numFmtId="164" fontId="27" fillId="36" borderId="10" xfId="0" applyNumberFormat="1" applyFont="1" applyFill="1" applyBorder="1" applyAlignment="1">
      <alignment/>
    </xf>
    <xf numFmtId="164" fontId="0" fillId="45" borderId="12" xfId="0" applyNumberFormat="1" applyFont="1" applyFill="1" applyBorder="1" applyAlignment="1">
      <alignment/>
    </xf>
    <xf numFmtId="164" fontId="0" fillId="46" borderId="12" xfId="0" applyNumberFormat="1" applyFont="1" applyFill="1" applyBorder="1" applyAlignment="1">
      <alignment/>
    </xf>
    <xf numFmtId="164" fontId="27" fillId="35" borderId="10" xfId="0" applyNumberFormat="1" applyFont="1" applyFill="1" applyBorder="1" applyAlignment="1">
      <alignment/>
    </xf>
    <xf numFmtId="164" fontId="27" fillId="34" borderId="10" xfId="0" applyNumberFormat="1" applyFont="1" applyFill="1" applyBorder="1" applyAlignment="1">
      <alignment/>
    </xf>
    <xf numFmtId="164" fontId="0" fillId="37" borderId="12" xfId="0" applyNumberFormat="1" applyFont="1" applyFill="1" applyBorder="1" applyAlignment="1">
      <alignment/>
    </xf>
    <xf numFmtId="164" fontId="0" fillId="42" borderId="12" xfId="0" applyNumberFormat="1" applyFont="1" applyFill="1" applyBorder="1" applyAlignment="1">
      <alignment/>
    </xf>
    <xf numFmtId="164" fontId="27" fillId="33" borderId="10" xfId="0" applyNumberFormat="1" applyFont="1" applyFill="1" applyBorder="1" applyAlignment="1">
      <alignment/>
    </xf>
    <xf numFmtId="0" fontId="0" fillId="37" borderId="12" xfId="0" applyFont="1" applyFill="1" applyBorder="1" applyAlignment="1">
      <alignment horizontal="center"/>
    </xf>
    <xf numFmtId="0" fontId="0" fillId="42" borderId="12" xfId="0" applyFont="1" applyFill="1" applyBorder="1" applyAlignment="1">
      <alignment horizontal="center"/>
    </xf>
    <xf numFmtId="0" fontId="0" fillId="43" borderId="14" xfId="0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0" fillId="44" borderId="14" xfId="0" applyFont="1" applyFill="1" applyBorder="1" applyAlignment="1">
      <alignment horizontal="center"/>
    </xf>
    <xf numFmtId="0" fontId="0" fillId="44" borderId="12" xfId="0" applyFont="1" applyFill="1" applyBorder="1" applyAlignment="1">
      <alignment horizontal="center"/>
    </xf>
    <xf numFmtId="0" fontId="0" fillId="45" borderId="14" xfId="0" applyFont="1" applyFill="1" applyBorder="1" applyAlignment="1">
      <alignment horizontal="center"/>
    </xf>
    <xf numFmtId="0" fontId="0" fillId="45" borderId="12" xfId="0" applyFont="1" applyFill="1" applyBorder="1" applyAlignment="1">
      <alignment horizontal="center"/>
    </xf>
    <xf numFmtId="0" fontId="0" fillId="46" borderId="14" xfId="0" applyFont="1" applyFill="1" applyBorder="1" applyAlignment="1">
      <alignment horizontal="center"/>
    </xf>
    <xf numFmtId="0" fontId="0" fillId="46" borderId="12" xfId="0" applyFont="1" applyFill="1" applyBorder="1" applyAlignment="1">
      <alignment horizontal="center"/>
    </xf>
    <xf numFmtId="0" fontId="0" fillId="47" borderId="14" xfId="0" applyFont="1" applyFill="1" applyBorder="1" applyAlignment="1">
      <alignment horizontal="center"/>
    </xf>
    <xf numFmtId="0" fontId="0" fillId="47" borderId="12" xfId="0" applyFont="1" applyFill="1" applyBorder="1" applyAlignment="1">
      <alignment horizontal="center"/>
    </xf>
    <xf numFmtId="0" fontId="0" fillId="48" borderId="14" xfId="0" applyFont="1" applyFill="1" applyBorder="1" applyAlignment="1">
      <alignment horizontal="center"/>
    </xf>
    <xf numFmtId="0" fontId="0" fillId="48" borderId="12" xfId="0" applyFont="1" applyFill="1" applyBorder="1" applyAlignment="1">
      <alignment horizontal="center"/>
    </xf>
    <xf numFmtId="0" fontId="0" fillId="49" borderId="14" xfId="0" applyFont="1" applyFill="1" applyBorder="1" applyAlignment="1">
      <alignment horizontal="center"/>
    </xf>
    <xf numFmtId="0" fontId="0" fillId="49" borderId="12" xfId="0" applyFont="1" applyFill="1" applyBorder="1" applyAlignment="1">
      <alignment horizontal="center"/>
    </xf>
    <xf numFmtId="0" fontId="0" fillId="50" borderId="14" xfId="0" applyFont="1" applyFill="1" applyBorder="1" applyAlignment="1">
      <alignment horizontal="center"/>
    </xf>
    <xf numFmtId="0" fontId="0" fillId="50" borderId="12" xfId="0" applyFont="1" applyFill="1" applyBorder="1" applyAlignment="1">
      <alignment horizontal="center"/>
    </xf>
    <xf numFmtId="0" fontId="0" fillId="51" borderId="14" xfId="0" applyFont="1" applyFill="1" applyBorder="1" applyAlignment="1">
      <alignment horizontal="center"/>
    </xf>
    <xf numFmtId="0" fontId="0" fillId="51" borderId="12" xfId="0" applyFont="1" applyFill="1" applyBorder="1" applyAlignment="1">
      <alignment horizontal="center"/>
    </xf>
    <xf numFmtId="0" fontId="0" fillId="52" borderId="14" xfId="0" applyFont="1" applyFill="1" applyBorder="1" applyAlignment="1">
      <alignment horizontal="center"/>
    </xf>
    <xf numFmtId="0" fontId="0" fillId="52" borderId="12" xfId="0" applyFont="1" applyFill="1" applyBorder="1" applyAlignment="1">
      <alignment horizontal="center"/>
    </xf>
    <xf numFmtId="164" fontId="0" fillId="43" borderId="12" xfId="0" applyNumberFormat="1" applyFont="1" applyFill="1" applyBorder="1" applyAlignment="1">
      <alignment horizontal="right" vertical="center"/>
    </xf>
    <xf numFmtId="164" fontId="0" fillId="44" borderId="12" xfId="0" applyNumberFormat="1" applyFont="1" applyFill="1" applyBorder="1" applyAlignment="1">
      <alignment horizontal="right" vertical="center"/>
    </xf>
    <xf numFmtId="0" fontId="0" fillId="47" borderId="12" xfId="0" applyNumberFormat="1" applyFont="1" applyFill="1" applyBorder="1" applyAlignment="1">
      <alignment horizontal="center"/>
    </xf>
    <xf numFmtId="164" fontId="0" fillId="51" borderId="12" xfId="0" applyNumberFormat="1" applyFont="1" applyFill="1" applyBorder="1" applyAlignment="1">
      <alignment horizontal="right"/>
    </xf>
    <xf numFmtId="164" fontId="0" fillId="52" borderId="12" xfId="0" applyNumberFormat="1" applyFont="1" applyFill="1" applyBorder="1" applyAlignment="1">
      <alignment horizontal="right"/>
    </xf>
    <xf numFmtId="0" fontId="0" fillId="51" borderId="12" xfId="0" applyFont="1" applyFill="1" applyBorder="1" applyAlignment="1">
      <alignment horizontal="left"/>
    </xf>
    <xf numFmtId="0" fontId="0" fillId="52" borderId="12" xfId="0" applyFont="1" applyFill="1" applyBorder="1" applyAlignment="1">
      <alignment horizontal="left"/>
    </xf>
    <xf numFmtId="0" fontId="27" fillId="36" borderId="10" xfId="0" applyFont="1" applyFill="1" applyBorder="1" applyAlignment="1">
      <alignment horizontal="left"/>
    </xf>
    <xf numFmtId="0" fontId="0" fillId="42" borderId="15" xfId="0" applyFont="1" applyFill="1" applyBorder="1" applyAlignment="1">
      <alignment horizontal="center"/>
    </xf>
    <xf numFmtId="164" fontId="0" fillId="42" borderId="15" xfId="0" applyNumberFormat="1" applyFont="1" applyFill="1" applyBorder="1" applyAlignment="1">
      <alignment/>
    </xf>
    <xf numFmtId="0" fontId="0" fillId="42" borderId="15" xfId="0" applyNumberFormat="1" applyFont="1" applyFill="1" applyBorder="1" applyAlignment="1">
      <alignment/>
    </xf>
    <xf numFmtId="0" fontId="27" fillId="33" borderId="16" xfId="0" applyFont="1" applyFill="1" applyBorder="1" applyAlignment="1">
      <alignment horizontal="center" vertical="center" wrapText="1"/>
    </xf>
    <xf numFmtId="0" fontId="0" fillId="44" borderId="0" xfId="0" applyFont="1" applyFill="1" applyBorder="1" applyAlignment="1">
      <alignment horizontal="center"/>
    </xf>
    <xf numFmtId="0" fontId="0" fillId="44" borderId="15" xfId="0" applyFont="1" applyFill="1" applyBorder="1" applyAlignment="1">
      <alignment horizontal="center"/>
    </xf>
    <xf numFmtId="164" fontId="0" fillId="44" borderId="15" xfId="0" applyNumberFormat="1" applyFont="1" applyFill="1" applyBorder="1" applyAlignment="1">
      <alignment horizontal="right" vertical="center"/>
    </xf>
    <xf numFmtId="0" fontId="0" fillId="44" borderId="15" xfId="0" applyNumberFormat="1" applyFont="1" applyFill="1" applyBorder="1" applyAlignment="1">
      <alignment/>
    </xf>
    <xf numFmtId="0" fontId="27" fillId="34" borderId="16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 horizontal="center"/>
    </xf>
    <xf numFmtId="0" fontId="0" fillId="48" borderId="15" xfId="0" applyFont="1" applyFill="1" applyBorder="1" applyAlignment="1">
      <alignment horizontal="center"/>
    </xf>
    <xf numFmtId="164" fontId="0" fillId="48" borderId="15" xfId="0" applyNumberFormat="1" applyFont="1" applyFill="1" applyBorder="1" applyAlignment="1">
      <alignment/>
    </xf>
    <xf numFmtId="0" fontId="0" fillId="48" borderId="15" xfId="0" applyNumberFormat="1" applyFont="1" applyFill="1" applyBorder="1" applyAlignment="1">
      <alignment/>
    </xf>
    <xf numFmtId="0" fontId="27" fillId="36" borderId="16" xfId="0" applyFont="1" applyFill="1" applyBorder="1" applyAlignment="1">
      <alignment horizontal="center" vertical="center" wrapText="1"/>
    </xf>
    <xf numFmtId="0" fontId="0" fillId="46" borderId="0" xfId="0" applyFont="1" applyFill="1" applyBorder="1" applyAlignment="1">
      <alignment horizontal="center"/>
    </xf>
    <xf numFmtId="0" fontId="0" fillId="46" borderId="15" xfId="0" applyFont="1" applyFill="1" applyBorder="1" applyAlignment="1">
      <alignment horizontal="center"/>
    </xf>
    <xf numFmtId="164" fontId="0" fillId="46" borderId="15" xfId="0" applyNumberFormat="1" applyFont="1" applyFill="1" applyBorder="1" applyAlignment="1">
      <alignment/>
    </xf>
    <xf numFmtId="0" fontId="0" fillId="46" borderId="15" xfId="0" applyNumberFormat="1" applyFont="1" applyFill="1" applyBorder="1" applyAlignment="1">
      <alignment/>
    </xf>
    <xf numFmtId="0" fontId="0" fillId="52" borderId="0" xfId="0" applyFont="1" applyFill="1" applyBorder="1" applyAlignment="1">
      <alignment horizontal="center"/>
    </xf>
    <xf numFmtId="0" fontId="0" fillId="52" borderId="15" xfId="0" applyFont="1" applyFill="1" applyBorder="1" applyAlignment="1">
      <alignment horizontal="center"/>
    </xf>
    <xf numFmtId="164" fontId="0" fillId="52" borderId="15" xfId="0" applyNumberFormat="1" applyFont="1" applyFill="1" applyBorder="1" applyAlignment="1">
      <alignment/>
    </xf>
    <xf numFmtId="0" fontId="0" fillId="52" borderId="15" xfId="0" applyNumberFormat="1" applyFont="1" applyFill="1" applyBorder="1" applyAlignment="1">
      <alignment horizontal="left"/>
    </xf>
    <xf numFmtId="0" fontId="27" fillId="39" borderId="16" xfId="0" applyFont="1" applyFill="1" applyBorder="1" applyAlignment="1">
      <alignment horizontal="center" vertical="center" wrapText="1"/>
    </xf>
    <xf numFmtId="0" fontId="0" fillId="50" borderId="0" xfId="0" applyFont="1" applyFill="1" applyBorder="1" applyAlignment="1">
      <alignment horizontal="center"/>
    </xf>
    <xf numFmtId="0" fontId="0" fillId="50" borderId="15" xfId="0" applyFont="1" applyFill="1" applyBorder="1" applyAlignment="1">
      <alignment horizontal="center"/>
    </xf>
    <xf numFmtId="164" fontId="0" fillId="50" borderId="15" xfId="0" applyNumberFormat="1" applyFont="1" applyFill="1" applyBorder="1" applyAlignment="1">
      <alignment/>
    </xf>
    <xf numFmtId="0" fontId="0" fillId="50" borderId="15" xfId="0" applyNumberFormat="1" applyFont="1" applyFill="1" applyBorder="1" applyAlignment="1">
      <alignment/>
    </xf>
    <xf numFmtId="0" fontId="27" fillId="38" borderId="16" xfId="0" applyFont="1" applyFill="1" applyBorder="1" applyAlignment="1">
      <alignment horizontal="center" vertical="center" wrapText="1"/>
    </xf>
    <xf numFmtId="0" fontId="38" fillId="40" borderId="16" xfId="0" applyFont="1" applyFill="1" applyBorder="1" applyAlignment="1">
      <alignment/>
    </xf>
    <xf numFmtId="0" fontId="38" fillId="23" borderId="16" xfId="0" applyFont="1" applyFill="1" applyBorder="1" applyAlignment="1">
      <alignment/>
    </xf>
    <xf numFmtId="0" fontId="38" fillId="25" borderId="17" xfId="0" applyFont="1" applyFill="1" applyBorder="1" applyAlignment="1">
      <alignment/>
    </xf>
    <xf numFmtId="0" fontId="38" fillId="20" borderId="16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164" fontId="0" fillId="37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37" borderId="18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53" borderId="0" xfId="0" applyFill="1" applyAlignment="1">
      <alignment/>
    </xf>
    <xf numFmtId="0" fontId="27" fillId="33" borderId="19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9" borderId="19" xfId="0" applyFont="1" applyFill="1" applyBorder="1" applyAlignment="1">
      <alignment horizontal="center" vertical="center" wrapText="1"/>
    </xf>
    <xf numFmtId="0" fontId="27" fillId="38" borderId="19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27" fillId="39" borderId="20" xfId="0" applyFont="1" applyFill="1" applyBorder="1" applyAlignment="1">
      <alignment horizontal="center" vertical="center" wrapText="1"/>
    </xf>
    <xf numFmtId="0" fontId="27" fillId="38" borderId="20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27" fillId="36" borderId="21" xfId="0" applyFont="1" applyFill="1" applyBorder="1" applyAlignment="1">
      <alignment horizontal="center" vertical="center" wrapText="1"/>
    </xf>
    <xf numFmtId="0" fontId="27" fillId="39" borderId="21" xfId="0" applyFont="1" applyFill="1" applyBorder="1" applyAlignment="1">
      <alignment horizontal="center" vertical="center" wrapText="1"/>
    </xf>
    <xf numFmtId="0" fontId="27" fillId="38" borderId="21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27" fillId="35" borderId="16" xfId="0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 wrapText="1"/>
    </xf>
    <xf numFmtId="0" fontId="27" fillId="35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7" fillId="35" borderId="21" xfId="0" applyFont="1" applyFill="1" applyBorder="1" applyAlignment="1">
      <alignment horizontal="center" vertical="center" wrapText="1"/>
    </xf>
    <xf numFmtId="0" fontId="39" fillId="54" borderId="25" xfId="0" applyFont="1" applyFill="1" applyBorder="1" applyAlignment="1">
      <alignment horizontal="center" vertical="center" wrapText="1"/>
    </xf>
    <xf numFmtId="0" fontId="39" fillId="54" borderId="26" xfId="0" applyFont="1" applyFill="1" applyBorder="1" applyAlignment="1">
      <alignment horizontal="center" vertical="center" wrapText="1"/>
    </xf>
    <xf numFmtId="0" fontId="39" fillId="54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39" fillId="54" borderId="2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28" xfId="0" applyBorder="1" applyAlignment="1">
      <alignment horizontal="left" wrapText="1"/>
    </xf>
    <xf numFmtId="0" fontId="27" fillId="34" borderId="29" xfId="0" applyFont="1" applyFill="1" applyBorder="1" applyAlignment="1">
      <alignment horizontal="center" vertical="center" wrapText="1"/>
    </xf>
    <xf numFmtId="0" fontId="0" fillId="44" borderId="30" xfId="0" applyFont="1" applyFill="1" applyBorder="1" applyAlignment="1">
      <alignment horizontal="center"/>
    </xf>
    <xf numFmtId="0" fontId="0" fillId="43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27" fillId="36" borderId="29" xfId="0" applyFont="1" applyFill="1" applyBorder="1" applyAlignment="1">
      <alignment horizontal="center" vertical="center" wrapText="1"/>
    </xf>
    <xf numFmtId="0" fontId="0" fillId="48" borderId="30" xfId="0" applyFont="1" applyFill="1" applyBorder="1" applyAlignment="1">
      <alignment horizontal="center"/>
    </xf>
    <xf numFmtId="0" fontId="0" fillId="47" borderId="31" xfId="0" applyFont="1" applyFill="1" applyBorder="1" applyAlignment="1">
      <alignment horizontal="center"/>
    </xf>
    <xf numFmtId="0" fontId="27" fillId="36" borderId="32" xfId="0" applyFont="1" applyFill="1" applyBorder="1" applyAlignment="1">
      <alignment/>
    </xf>
    <xf numFmtId="0" fontId="27" fillId="35" borderId="29" xfId="0" applyFont="1" applyFill="1" applyBorder="1" applyAlignment="1">
      <alignment horizontal="center" vertical="center" wrapText="1"/>
    </xf>
    <xf numFmtId="0" fontId="0" fillId="46" borderId="30" xfId="0" applyFont="1" applyFill="1" applyBorder="1" applyAlignment="1">
      <alignment horizontal="center"/>
    </xf>
    <xf numFmtId="0" fontId="0" fillId="45" borderId="31" xfId="0" applyFont="1" applyFill="1" applyBorder="1" applyAlignment="1">
      <alignment horizontal="center"/>
    </xf>
    <xf numFmtId="0" fontId="27" fillId="35" borderId="32" xfId="0" applyFont="1" applyFill="1" applyBorder="1" applyAlignment="1">
      <alignment/>
    </xf>
    <xf numFmtId="0" fontId="27" fillId="39" borderId="29" xfId="0" applyFont="1" applyFill="1" applyBorder="1" applyAlignment="1">
      <alignment horizontal="center" vertical="center" wrapText="1"/>
    </xf>
    <xf numFmtId="0" fontId="0" fillId="52" borderId="30" xfId="0" applyFont="1" applyFill="1" applyBorder="1" applyAlignment="1">
      <alignment horizontal="center"/>
    </xf>
    <xf numFmtId="0" fontId="0" fillId="51" borderId="31" xfId="0" applyFont="1" applyFill="1" applyBorder="1" applyAlignment="1">
      <alignment horizontal="center"/>
    </xf>
    <xf numFmtId="0" fontId="27" fillId="39" borderId="32" xfId="0" applyFont="1" applyFill="1" applyBorder="1" applyAlignment="1">
      <alignment/>
    </xf>
    <xf numFmtId="0" fontId="27" fillId="38" borderId="29" xfId="0" applyFont="1" applyFill="1" applyBorder="1" applyAlignment="1">
      <alignment horizontal="center" vertical="center" wrapText="1"/>
    </xf>
    <xf numFmtId="0" fontId="0" fillId="50" borderId="30" xfId="0" applyFont="1" applyFill="1" applyBorder="1" applyAlignment="1">
      <alignment horizontal="center"/>
    </xf>
    <xf numFmtId="0" fontId="0" fillId="49" borderId="31" xfId="0" applyFont="1" applyFill="1" applyBorder="1" applyAlignment="1">
      <alignment horizontal="center"/>
    </xf>
    <xf numFmtId="0" fontId="27" fillId="38" borderId="32" xfId="0" applyFont="1" applyFill="1" applyBorder="1" applyAlignment="1">
      <alignment/>
    </xf>
    <xf numFmtId="166" fontId="0" fillId="42" borderId="12" xfId="0" applyNumberFormat="1" applyFont="1" applyFill="1" applyBorder="1" applyAlignment="1">
      <alignment horizontal="center" vertical="center"/>
    </xf>
    <xf numFmtId="166" fontId="0" fillId="37" borderId="12" xfId="0" applyNumberFormat="1" applyFont="1" applyFill="1" applyBorder="1" applyAlignment="1">
      <alignment horizontal="center" vertical="center"/>
    </xf>
    <xf numFmtId="166" fontId="0" fillId="42" borderId="33" xfId="0" applyNumberFormat="1" applyFont="1" applyFill="1" applyBorder="1" applyAlignment="1">
      <alignment horizontal="center" vertical="center"/>
    </xf>
    <xf numFmtId="166" fontId="0" fillId="43" borderId="12" xfId="0" applyNumberFormat="1" applyFont="1" applyFill="1" applyBorder="1" applyAlignment="1">
      <alignment horizontal="center"/>
    </xf>
    <xf numFmtId="166" fontId="0" fillId="47" borderId="12" xfId="0" applyNumberFormat="1" applyFont="1" applyFill="1" applyBorder="1" applyAlignment="1">
      <alignment horizontal="center"/>
    </xf>
    <xf numFmtId="166" fontId="0" fillId="45" borderId="12" xfId="0" applyNumberFormat="1" applyFont="1" applyFill="1" applyBorder="1" applyAlignment="1">
      <alignment horizontal="center"/>
    </xf>
    <xf numFmtId="166" fontId="0" fillId="51" borderId="12" xfId="0" applyNumberFormat="1" applyFont="1" applyFill="1" applyBorder="1" applyAlignment="1">
      <alignment horizontal="center"/>
    </xf>
    <xf numFmtId="166" fontId="0" fillId="50" borderId="15" xfId="0" applyNumberFormat="1" applyFont="1" applyFill="1" applyBorder="1" applyAlignment="1">
      <alignment horizontal="center"/>
    </xf>
    <xf numFmtId="166" fontId="0" fillId="49" borderId="12" xfId="0" applyNumberFormat="1" applyFont="1" applyFill="1" applyBorder="1" applyAlignment="1">
      <alignment horizontal="center"/>
    </xf>
    <xf numFmtId="166" fontId="0" fillId="50" borderId="12" xfId="0" applyNumberFormat="1" applyFont="1" applyFill="1" applyBorder="1" applyAlignment="1">
      <alignment horizontal="center"/>
    </xf>
    <xf numFmtId="166" fontId="0" fillId="44" borderId="15" xfId="0" applyNumberFormat="1" applyFont="1" applyFill="1" applyBorder="1" applyAlignment="1">
      <alignment horizontal="center" vertical="center"/>
    </xf>
    <xf numFmtId="166" fontId="0" fillId="48" borderId="15" xfId="0" applyNumberFormat="1" applyFont="1" applyFill="1" applyBorder="1" applyAlignment="1">
      <alignment horizontal="center"/>
    </xf>
    <xf numFmtId="166" fontId="0" fillId="46" borderId="15" xfId="0" applyNumberFormat="1" applyFont="1" applyFill="1" applyBorder="1" applyAlignment="1">
      <alignment horizontal="center"/>
    </xf>
    <xf numFmtId="166" fontId="0" fillId="52" borderId="15" xfId="0" applyNumberFormat="1" applyFont="1" applyFill="1" applyBorder="1" applyAlignment="1">
      <alignment horizontal="center"/>
    </xf>
    <xf numFmtId="0" fontId="33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38" fillId="41" borderId="17" xfId="0" applyFont="1" applyFill="1" applyBorder="1" applyAlignment="1">
      <alignment horizontal="center"/>
    </xf>
    <xf numFmtId="0" fontId="38" fillId="40" borderId="19" xfId="0" applyFont="1" applyFill="1" applyBorder="1" applyAlignment="1">
      <alignment horizontal="center"/>
    </xf>
    <xf numFmtId="0" fontId="38" fillId="40" borderId="21" xfId="0" applyFont="1" applyFill="1" applyBorder="1" applyAlignment="1">
      <alignment horizontal="center"/>
    </xf>
    <xf numFmtId="0" fontId="38" fillId="40" borderId="20" xfId="0" applyFont="1" applyFill="1" applyBorder="1" applyAlignment="1">
      <alignment horizontal="center"/>
    </xf>
    <xf numFmtId="0" fontId="38" fillId="23" borderId="19" xfId="0" applyFont="1" applyFill="1" applyBorder="1" applyAlignment="1">
      <alignment horizontal="center"/>
    </xf>
    <xf numFmtId="0" fontId="38" fillId="23" borderId="21" xfId="0" applyFont="1" applyFill="1" applyBorder="1" applyAlignment="1">
      <alignment horizontal="center"/>
    </xf>
    <xf numFmtId="0" fontId="38" fillId="23" borderId="20" xfId="0" applyFont="1" applyFill="1" applyBorder="1" applyAlignment="1">
      <alignment horizontal="center"/>
    </xf>
    <xf numFmtId="0" fontId="38" fillId="25" borderId="17" xfId="0" applyFont="1" applyFill="1" applyBorder="1" applyAlignment="1">
      <alignment horizontal="center"/>
    </xf>
    <xf numFmtId="0" fontId="38" fillId="20" borderId="19" xfId="0" applyFont="1" applyFill="1" applyBorder="1" applyAlignment="1">
      <alignment horizontal="center"/>
    </xf>
    <xf numFmtId="0" fontId="38" fillId="20" borderId="21" xfId="0" applyFont="1" applyFill="1" applyBorder="1" applyAlignment="1">
      <alignment horizontal="center"/>
    </xf>
    <xf numFmtId="0" fontId="38" fillId="20" borderId="17" xfId="0" applyFont="1" applyFill="1" applyBorder="1" applyAlignment="1">
      <alignment horizontal="center"/>
    </xf>
    <xf numFmtId="0" fontId="38" fillId="20" borderId="20" xfId="0" applyFont="1" applyFill="1" applyBorder="1" applyAlignment="1">
      <alignment horizontal="center"/>
    </xf>
    <xf numFmtId="0" fontId="38" fillId="21" borderId="17" xfId="0" applyFont="1" applyFill="1" applyBorder="1" applyAlignment="1">
      <alignment horizontal="center"/>
    </xf>
    <xf numFmtId="0" fontId="33" fillId="0" borderId="34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28" xfId="0" applyBorder="1" applyAlignment="1" applyProtection="1">
      <alignment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ela3" displayName="Tabela3" ref="A2:C5" comment="" totalsRowShown="0">
  <autoFilter ref="A2:C5"/>
  <tableColumns count="3">
    <tableColumn id="1" name="Odpady zmieszane"/>
    <tableColumn id="2" name="Metale i tworzywa Sztuczne, SZKŁO, PAPIER"/>
    <tableColumn id="3" name="BIO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10" name="Tabela10" displayName="Tabela10" ref="B1:C10" comment="" totalsRowShown="0">
  <autoFilter ref="B1:C10"/>
  <tableColumns count="2">
    <tableColumn id="1" name="Stawka dla pojemnika"/>
    <tableColumn id="2" name="Stawka dla worka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StawkiDziałalność" displayName="StawkiDziałalność" ref="B1:H15" comment="" totalsRowShown="0">
  <autoFilter ref="B1:H15"/>
  <tableColumns count="7">
    <tableColumn id="1" name="Wielkość pojemnika wyrażona w litrach"/>
    <tableColumn id="2" name="Stawka za odpady segregowane na osobę"/>
    <tableColumn id="3" name="Stawka za odpady niesegregowane na osobę"/>
    <tableColumn id="4" name="jednostka"/>
    <tableColumn id="5" name="Stawka za odpady segregowane do 31.12.2020 r."/>
    <tableColumn id="6" name="Stawka za odpady niesegregowane do 31.12.2020 r."/>
    <tableColumn id="7" name="Kolumna1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9" name="Tabela9" displayName="Tabela9" ref="A1:C7" comment="" totalsRowShown="0">
  <autoFilter ref="A1:C7"/>
  <tableColumns count="3">
    <tableColumn id="2" name="Rodzaj odpadu"/>
    <tableColumn id="3" name="Ilość odbiorów w roku"/>
    <tableColumn id="4" name="średnia ilość odbioró na miesią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A39" sqref="A39:C39 E39"/>
    </sheetView>
  </sheetViews>
  <sheetFormatPr defaultColWidth="9.140625" defaultRowHeight="15"/>
  <cols>
    <col min="1" max="1" width="17.28125" style="0" customWidth="1"/>
    <col min="2" max="2" width="14.28125" style="0" customWidth="1"/>
    <col min="3" max="3" width="14.140625" style="0" customWidth="1"/>
    <col min="4" max="4" width="14.00390625" style="153" customWidth="1"/>
    <col min="5" max="5" width="14.00390625" style="20" customWidth="1"/>
    <col min="6" max="6" width="39.8515625" style="0" customWidth="1"/>
    <col min="7" max="7" width="21.421875" style="0" customWidth="1"/>
    <col min="8" max="8" width="16.7109375" style="0" customWidth="1"/>
    <col min="9" max="9" width="70.8515625" style="0" customWidth="1"/>
  </cols>
  <sheetData>
    <row r="1" spans="1:9" ht="39.75" customHeight="1">
      <c r="A1" s="203" t="s">
        <v>53</v>
      </c>
      <c r="B1" s="203"/>
      <c r="C1" s="203"/>
      <c r="D1" s="203"/>
      <c r="E1" s="203"/>
      <c r="F1" s="203"/>
      <c r="G1" s="203"/>
      <c r="H1" s="203"/>
      <c r="I1" s="8"/>
    </row>
    <row r="2" spans="1:9" ht="3.75" customHeight="1">
      <c r="A2" s="133"/>
      <c r="B2" s="132"/>
      <c r="C2" s="132"/>
      <c r="D2" s="132"/>
      <c r="E2" s="132"/>
      <c r="F2" s="132"/>
      <c r="G2" s="132"/>
      <c r="H2" s="132"/>
      <c r="I2" s="132"/>
    </row>
    <row r="3" spans="1:11" ht="69" customHeight="1">
      <c r="A3" s="218" t="s">
        <v>70</v>
      </c>
      <c r="B3" s="218"/>
      <c r="C3" s="218"/>
      <c r="D3" s="218"/>
      <c r="E3" s="218"/>
      <c r="F3" s="218"/>
      <c r="G3" s="218"/>
      <c r="H3" s="218"/>
      <c r="I3" s="202"/>
      <c r="J3" s="202"/>
      <c r="K3" s="202"/>
    </row>
    <row r="4" spans="1:9" ht="18" customHeight="1">
      <c r="A4" s="162">
        <v>1</v>
      </c>
      <c r="B4" s="162">
        <v>2</v>
      </c>
      <c r="C4" s="162">
        <v>3</v>
      </c>
      <c r="D4" s="162">
        <v>4</v>
      </c>
      <c r="E4" s="162">
        <v>5</v>
      </c>
      <c r="F4" s="162">
        <v>6</v>
      </c>
      <c r="G4" s="162">
        <v>7</v>
      </c>
      <c r="H4" s="162">
        <v>8</v>
      </c>
      <c r="I4" s="134">
        <v>9</v>
      </c>
    </row>
    <row r="5" spans="1:9" s="135" customFormat="1" ht="50.25" customHeight="1">
      <c r="A5" s="159" t="s">
        <v>62</v>
      </c>
      <c r="B5" s="163" t="s">
        <v>63</v>
      </c>
      <c r="C5" s="163"/>
      <c r="D5" s="160"/>
      <c r="E5" s="163"/>
      <c r="F5" s="163" t="s">
        <v>66</v>
      </c>
      <c r="G5" s="161" t="s">
        <v>65</v>
      </c>
      <c r="H5" s="159" t="s">
        <v>64</v>
      </c>
      <c r="I5" s="163"/>
    </row>
    <row r="6" ht="4.5" customHeight="1"/>
    <row r="7" spans="1:9" ht="21">
      <c r="A7" s="206" t="s">
        <v>24</v>
      </c>
      <c r="B7" s="207"/>
      <c r="C7" s="207"/>
      <c r="D7" s="207"/>
      <c r="E7" s="207"/>
      <c r="F7" s="207"/>
      <c r="G7" s="207"/>
      <c r="H7" s="208"/>
      <c r="I7" s="124"/>
    </row>
    <row r="8" spans="1:9" ht="59.25" customHeight="1">
      <c r="A8" s="99" t="s">
        <v>25</v>
      </c>
      <c r="B8" s="136" t="s">
        <v>38</v>
      </c>
      <c r="C8" s="146" t="s">
        <v>42</v>
      </c>
      <c r="D8" s="151" t="s">
        <v>57</v>
      </c>
      <c r="E8" s="146" t="s">
        <v>61</v>
      </c>
      <c r="F8" s="141" t="s">
        <v>69</v>
      </c>
      <c r="G8" s="99" t="s">
        <v>54</v>
      </c>
      <c r="H8" s="99" t="s">
        <v>60</v>
      </c>
      <c r="I8" s="99" t="s">
        <v>68</v>
      </c>
    </row>
    <row r="9" spans="1:9" ht="15">
      <c r="A9" s="96" t="s">
        <v>19</v>
      </c>
      <c r="B9" s="96"/>
      <c r="C9" s="67"/>
      <c r="D9" s="67">
        <f>IF(OR(A9="",B9="",C9=""),"",'Ilość odbioru odpadów'!$B$2)</f>
      </c>
      <c r="E9" s="188">
        <f>IF(D9="","",D9/12)</f>
      </c>
      <c r="F9" s="188">
        <f>IF(OR(A9="",B9="",C9=""),"",C9*E9)</f>
      </c>
      <c r="G9" s="96">
        <f>IF(OR(A9="",B9="",C9=""),"",IF('Arkusz obliczeniowy'!$B9&gt;1500,('Arkusz obliczeniowy'!$B9-1500)*'Wielkość urządzeń i stawki'!$B$10+'Wielkość urządzeń i stawki'!$B$9,IF('Arkusz obliczeniowy'!$A9="pojemnik",VLOOKUP('Arkusz obliczeniowy'!$B9,'Wielkość urządzeń i stawki'!$A$2:$C$9,2,FALSE),IF('Arkusz obliczeniowy'!$A9="worek",VLOOKUP('Arkusz obliczeniowy'!$B9,'Wielkość urządzeń i stawki'!$A$2:$C$9,3,FALSE),0))))</f>
      </c>
      <c r="H9" s="97">
        <f>IF(G9="","",ROUND(F9*G9,2))</f>
      </c>
      <c r="I9" s="98" t="str">
        <f>IF($H$12&gt;0,"","brak zadeklarowanego urządzenia do zbierania odpadów")</f>
        <v>brak zadeklarowanego urządzenia do zbierania odpadów</v>
      </c>
    </row>
    <row r="10" spans="1:9" ht="15">
      <c r="A10" s="66"/>
      <c r="B10" s="66"/>
      <c r="C10" s="189"/>
      <c r="D10" s="66">
        <f>IF(OR(A10="",B10="",C10=""),"",'Ilość odbioru odpadów'!$B$2)</f>
      </c>
      <c r="E10" s="189">
        <f>IF(D10="","",D10/12)</f>
      </c>
      <c r="F10" s="189">
        <f>IF(OR(A10="",B10="",C10=""),"",C10*E10)</f>
      </c>
      <c r="G10" s="66">
        <f>IF(OR(A10="",B10="",C10=""),"",IF('Arkusz obliczeniowy'!$B10&gt;1500,('Arkusz obliczeniowy'!$B10-1500)*'Wielkość urządzeń i stawki'!$B$10+'Wielkość urządzeń i stawki'!$B$9,IF('Arkusz obliczeniowy'!$A10="pojemnik",VLOOKUP('Arkusz obliczeniowy'!$B10,'Wielkość urządzeń i stawki'!$A$2:$C$9,2,FALSE),IF('Arkusz obliczeniowy'!$A10="worek",VLOOKUP('Arkusz obliczeniowy'!$B10,'Wielkość urządzeń i stawki'!$A$2:$C$9,3,FALSE),0))))</f>
      </c>
      <c r="H10" s="63">
        <f>IF(G10="","",ROUND(F10*G10,2))</f>
      </c>
      <c r="I10" s="29" t="str">
        <f>IF($H$12&gt;0,"","brak zadeklarowanego urządzenia do zbierania odpadów")</f>
        <v>brak zadeklarowanego urządzenia do zbierania odpadów</v>
      </c>
    </row>
    <row r="11" spans="1:9" ht="15.75" thickBot="1">
      <c r="A11" s="67"/>
      <c r="B11" s="67"/>
      <c r="C11" s="67"/>
      <c r="D11" s="67">
        <f>IF(OR(A11="",B11="",C11=""),"",'Ilość odbioru odpadów'!$B$2)</f>
      </c>
      <c r="E11" s="190">
        <f>IF(D11="","",D11/12)</f>
      </c>
      <c r="F11" s="190">
        <f>IF(OR(A11="",B11="",C11=""),"",C11*E11)</f>
      </c>
      <c r="G11" s="67">
        <f>IF(OR(A11="",B11="",C11=""),"",IF('Arkusz obliczeniowy'!$B11&gt;1500,('Arkusz obliczeniowy'!$B11-1500)*'Wielkość urządzeń i stawki'!$B$10+'Wielkość urządzeń i stawki'!$B$9,IF('Arkusz obliczeniowy'!$A11="pojemnik",VLOOKUP('Arkusz obliczeniowy'!$B11,'Wielkość urządzeń i stawki'!$A$2:$C$9,2,FALSE),IF('Arkusz obliczeniowy'!$A11="worek",VLOOKUP('Arkusz obliczeniowy'!$B11,'Wielkość urządzeń i stawki'!$A$2:$C$9,3,FALSE),0))))</f>
      </c>
      <c r="H11" s="64">
        <f>IF(G11="","",ROUND(F11*G11,2))</f>
      </c>
      <c r="I11" s="30" t="str">
        <f>IF($H$12&gt;0,"","brak zadeklarowanego urządzenia do zbierania odpadów")</f>
        <v>brak zadeklarowanego urządzenia do zbierania odpadów</v>
      </c>
    </row>
    <row r="12" spans="1:9" ht="15.75" thickTop="1">
      <c r="A12" s="31"/>
      <c r="B12" s="11"/>
      <c r="C12" s="31"/>
      <c r="D12" s="152"/>
      <c r="E12" s="31"/>
      <c r="F12" s="31"/>
      <c r="G12" s="32" t="s">
        <v>28</v>
      </c>
      <c r="H12" s="65">
        <f>SUBTOTAL(109,'Arkusz obliczeniowy'!$H$9:$H$11)</f>
        <v>0</v>
      </c>
      <c r="I12" s="11" t="str">
        <f>IF(AND(I9="",I10="",I11=""),"","Niepoprawnie wypełnione dane")</f>
        <v>Niepoprawnie wypełnione dane</v>
      </c>
    </row>
    <row r="13" ht="9" customHeight="1"/>
    <row r="14" spans="1:9" ht="21">
      <c r="A14" s="209" t="s">
        <v>33</v>
      </c>
      <c r="B14" s="210"/>
      <c r="C14" s="210"/>
      <c r="D14" s="210"/>
      <c r="E14" s="210"/>
      <c r="F14" s="210"/>
      <c r="G14" s="210"/>
      <c r="H14" s="211"/>
      <c r="I14" s="125"/>
    </row>
    <row r="15" spans="1:9" ht="62.25">
      <c r="A15" s="104" t="s">
        <v>25</v>
      </c>
      <c r="B15" s="137" t="s">
        <v>38</v>
      </c>
      <c r="C15" s="147" t="s">
        <v>42</v>
      </c>
      <c r="D15" s="166" t="s">
        <v>52</v>
      </c>
      <c r="E15" s="137" t="s">
        <v>61</v>
      </c>
      <c r="F15" s="142" t="s">
        <v>67</v>
      </c>
      <c r="G15" s="104" t="s">
        <v>54</v>
      </c>
      <c r="H15" s="104" t="s">
        <v>55</v>
      </c>
      <c r="I15" s="104" t="s">
        <v>68</v>
      </c>
    </row>
    <row r="16" spans="1:9" ht="15">
      <c r="A16" s="100"/>
      <c r="B16" s="101"/>
      <c r="C16" s="100"/>
      <c r="D16" s="167">
        <f>IF(OR(A16="",B16="",C16=""),"",'Ilość odbioru odpadów'!$B$3)</f>
      </c>
      <c r="E16" s="198">
        <f>IF(D16="","",D16/12)</f>
      </c>
      <c r="F16" s="198">
        <f>IF(OR(A16="",B16="",C16=""),"",C16*E16)</f>
      </c>
      <c r="G16" s="102">
        <f>IF(OR(A16="",B16="",C16=""),"",IF('Arkusz obliczeniowy'!$B16&gt;1500,('Arkusz obliczeniowy'!$B16-1500)*'Wielkość urządzeń i stawki'!$B$10+'Wielkość urządzeń i stawki'!$B$9,IF('Arkusz obliczeniowy'!$A16="pojemnik",VLOOKUP('Arkusz obliczeniowy'!$B16,'Wielkość urządzeń i stawki'!$A$2:$C$9,2,FALSE),IF('Arkusz obliczeniowy'!$A16="worek",VLOOKUP('Arkusz obliczeniowy'!$B16,'Wielkość urządzeń i stawki'!$A$2:$C$9,3,FALSE),0))))</f>
      </c>
      <c r="H16" s="102">
        <f>IF(G16="","",ROUND(F16*G16,2))</f>
      </c>
      <c r="I16" s="103" t="str">
        <f>IF($H$19&gt;0,"","brak zadeklarowanego urządzenia do zbierania odpadów")</f>
        <v>brak zadeklarowanego urządzenia do zbierania odpadów</v>
      </c>
    </row>
    <row r="17" spans="1:9" ht="15">
      <c r="A17" s="68"/>
      <c r="B17" s="69"/>
      <c r="C17" s="68"/>
      <c r="D17" s="168">
        <f>IF(OR(A17="",B17="",C17=""),"",'Ilość odbioru odpadów'!$B$3)</f>
      </c>
      <c r="E17" s="191">
        <f>IF(D17="","",D17/12)</f>
      </c>
      <c r="F17" s="191">
        <f>IF(OR(A17="",B17="",C17=""),"",C17*E17)</f>
      </c>
      <c r="G17" s="69">
        <f>IF(OR(A17="",B17="",C17=""),"",IF('Arkusz obliczeniowy'!$B17&gt;1500,('Arkusz obliczeniowy'!$B17-1500)*'Wielkość urządzeń i stawki'!$B$10+'Wielkość urządzeń i stawki'!$B$9,IF('Arkusz obliczeniowy'!$A17="pojemnik",VLOOKUP('Arkusz obliczeniowy'!$B17,'Wielkość urządzeń i stawki'!$A$2:$C$9,2,FALSE),IF('Arkusz obliczeniowy'!$A17="worek",VLOOKUP('Arkusz obliczeniowy'!$B17,'Wielkość urządzeń i stawki'!$A$2:$C$9,3,FALSE),0))))</f>
      </c>
      <c r="H17" s="88">
        <f>IF(G17="","",ROUND(F17*G17,2))</f>
      </c>
      <c r="I17" s="33" t="str">
        <f>IF($H$19&gt;0,"","brak zadeklarowanego urządzenia do zbierania odpadów")</f>
        <v>brak zadeklarowanego urządzenia do zbierania odpadów</v>
      </c>
    </row>
    <row r="18" spans="1:9" ht="15.75" thickBot="1">
      <c r="A18" s="70"/>
      <c r="B18" s="71"/>
      <c r="C18" s="70"/>
      <c r="D18" s="167">
        <f>IF(OR(A18="",B18="",C18=""),"",'Ilość odbioru odpadów'!$B$3)</f>
      </c>
      <c r="E18" s="198">
        <f>IF(D18="","",D18/12)</f>
      </c>
      <c r="F18" s="198">
        <f>IF(OR(A18="",B18="",C18=""),"",C18*E18)</f>
      </c>
      <c r="G18" s="102">
        <f>IF(OR(A18="",B18="",C18=""),"",IF('Arkusz obliczeniowy'!$B18&gt;1500,('Arkusz obliczeniowy'!$B18-1500)*'Wielkość urządzeń i stawki'!$B$10+'Wielkość urządzeń i stawki'!$B$9,IF('Arkusz obliczeniowy'!$A18="pojemnik",VLOOKUP('Arkusz obliczeniowy'!$B18,'Wielkość urządzeń i stawki'!$A$2:$C$9,2,FALSE),IF('Arkusz obliczeniowy'!$A18="worek",VLOOKUP('Arkusz obliczeniowy'!$B18,'Wielkość urządzeń i stawki'!$A$2:$C$9,3,FALSE),0))))</f>
      </c>
      <c r="H18" s="89">
        <f>IF(G18="","",ROUND(F18*G18,2))</f>
      </c>
      <c r="I18" s="34" t="str">
        <f>IF($H$19&gt;0,"","brak zadeklarowanego urządzenia do zbierania odpadów")</f>
        <v>brak zadeklarowanego urządzenia do zbierania odpadów</v>
      </c>
    </row>
    <row r="19" spans="1:9" ht="15.75" thickTop="1">
      <c r="A19" s="35"/>
      <c r="B19" s="12"/>
      <c r="C19" s="35"/>
      <c r="D19" s="169"/>
      <c r="E19" s="12"/>
      <c r="F19" s="35"/>
      <c r="G19" s="36" t="s">
        <v>28</v>
      </c>
      <c r="H19" s="62">
        <f>SUBTOTAL(109,'Arkusz obliczeniowy'!$H$16:$H$18)</f>
        <v>0</v>
      </c>
      <c r="I19" s="12" t="str">
        <f>IF(AND(I16="",I17="",I18=""),"","Niepoprawnie wypełnione dane")</f>
        <v>Niepoprawnie wypełnione dane</v>
      </c>
    </row>
    <row r="20" spans="4:5" ht="12.75" customHeight="1">
      <c r="D20" s="170"/>
      <c r="E20" s="171"/>
    </row>
    <row r="21" spans="1:9" ht="21">
      <c r="A21" s="212" t="s">
        <v>35</v>
      </c>
      <c r="B21" s="212"/>
      <c r="C21" s="212"/>
      <c r="D21" s="212"/>
      <c r="E21" s="212"/>
      <c r="F21" s="212"/>
      <c r="G21" s="212"/>
      <c r="H21" s="212"/>
      <c r="I21" s="126"/>
    </row>
    <row r="22" spans="1:9" ht="62.25">
      <c r="A22" s="109" t="s">
        <v>25</v>
      </c>
      <c r="B22" s="138" t="s">
        <v>38</v>
      </c>
      <c r="C22" s="148" t="s">
        <v>42</v>
      </c>
      <c r="D22" s="172" t="s">
        <v>52</v>
      </c>
      <c r="E22" s="138" t="s">
        <v>61</v>
      </c>
      <c r="F22" s="143" t="s">
        <v>67</v>
      </c>
      <c r="G22" s="109" t="s">
        <v>54</v>
      </c>
      <c r="H22" s="109" t="s">
        <v>55</v>
      </c>
      <c r="I22" s="109" t="s">
        <v>68</v>
      </c>
    </row>
    <row r="23" spans="1:9" ht="15">
      <c r="A23" s="105"/>
      <c r="B23" s="106"/>
      <c r="C23" s="105"/>
      <c r="D23" s="173">
        <f>IF(OR(A23="",B23="",C23=""),"",'Ilość odbioru odpadów'!$B$5)</f>
      </c>
      <c r="E23" s="199">
        <f>IF(D23="","",D23/12)</f>
      </c>
      <c r="F23" s="199">
        <f>IF(OR(A23="",B23="",C23=""),"",C23*E23)</f>
      </c>
      <c r="G23" s="107">
        <f>IF(OR(A23="",B23="",C23=""),"",IF('Arkusz obliczeniowy'!$B23&gt;1500,('Arkusz obliczeniowy'!$B23-1500)*'Wielkość urządzeń i stawki'!$B$10+'Wielkość urządzeń i stawki'!$B$9,IF('Arkusz obliczeniowy'!$A23="pojemnik",VLOOKUP('Arkusz obliczeniowy'!$B23,'Wielkość urządzeń i stawki'!$A$2:$C$9,2,FALSE),IF('Arkusz obliczeniowy'!$A23="worek",VLOOKUP('Arkusz obliczeniowy'!$B23,'Wielkość urządzeń i stawki'!$A$2:$C$9,3,FALSE),0))))</f>
      </c>
      <c r="H23" s="107">
        <f>IF(G23="","",ROUND(F23*G23,2))</f>
      </c>
      <c r="I23" s="108" t="str">
        <f>IF($H$26&gt;0,"","brak zadeklarowanego urządzenia do zbierania odpadów")</f>
        <v>brak zadeklarowanego urządzenia do zbierania odpadów</v>
      </c>
    </row>
    <row r="24" spans="1:9" ht="15">
      <c r="A24" s="76"/>
      <c r="B24" s="77"/>
      <c r="C24" s="76"/>
      <c r="D24" s="174">
        <f>IF(OR(A24="",B24="",C24=""),"",'Ilość odbioru odpadów'!$B$5)</f>
      </c>
      <c r="E24" s="192">
        <f>IF(D24="","",D24/12)</f>
      </c>
      <c r="F24" s="192">
        <f>IF(OR(A24="",B24="",C24=""),"",C24*E24)</f>
      </c>
      <c r="G24" s="90">
        <f>IF(OR(A24="",B24="",C24=""),"",IF('Arkusz obliczeniowy'!$B24&gt;1500,('Arkusz obliczeniowy'!$B24-1500)*'Wielkość urządzeń i stawki'!$B$10+'Wielkość urządzeń i stawki'!$B$9,IF('Arkusz obliczeniowy'!$A24="pojemnik",VLOOKUP('Arkusz obliczeniowy'!$B24,'Wielkość urządzeń i stawki'!$A$2:$C$9,2,FALSE),IF('Arkusz obliczeniowy'!$A24="worek",VLOOKUP('Arkusz obliczeniowy'!$B24,'Wielkość urządzeń i stawki'!$A$2:$C$9,3,FALSE),0))))</f>
      </c>
      <c r="H24" s="56">
        <f>IF(G24="","",ROUND(F24*G24,2))</f>
      </c>
      <c r="I24" s="41" t="str">
        <f>IF($H$26&gt;0,"","brak zadeklarowanego urządzenia do zbierania odpadów")</f>
        <v>brak zadeklarowanego urządzenia do zbierania odpadów</v>
      </c>
    </row>
    <row r="25" spans="1:9" ht="15.75" thickBot="1">
      <c r="A25" s="78"/>
      <c r="B25" s="79"/>
      <c r="C25" s="78"/>
      <c r="D25" s="173">
        <f>IF(OR(A25="",B25="",C25=""),"",'Ilość odbioru odpadów'!$B$5)</f>
      </c>
      <c r="E25" s="199">
        <f>IF(D25="","",D25/12)</f>
      </c>
      <c r="F25" s="199">
        <f>IF(OR(A25="",B25="",C25=""),"",C25*E25)</f>
      </c>
      <c r="G25" s="107">
        <f>IF(OR(A25="",B25="",C25=""),"",IF('Arkusz obliczeniowy'!$B25&gt;1500,('Arkusz obliczeniowy'!$B25-1500)*'Wielkość urządzeń i stawki'!$B$10+'Wielkość urządzeń i stawki'!$B$9,IF('Arkusz obliczeniowy'!$A25="pojemnik",VLOOKUP('Arkusz obliczeniowy'!$B25,'Wielkość urządzeń i stawki'!$A$2:$C$9,2,FALSE),IF('Arkusz obliczeniowy'!$A25="worek",VLOOKUP('Arkusz obliczeniowy'!$B25,'Wielkość urządzeń i stawki'!$A$2:$C$9,3,FALSE),0))))</f>
      </c>
      <c r="H25" s="57">
        <f>IF(G25="","",ROUND(F25*G25,2))</f>
      </c>
      <c r="I25" s="42" t="str">
        <f>IF($H$26&gt;0,"","brak zadeklarowanego urządzenia do zbierania odpadów")</f>
        <v>brak zadeklarowanego urządzenia do zbierania odpadów</v>
      </c>
    </row>
    <row r="26" spans="1:9" ht="15.75" thickTop="1">
      <c r="A26" s="43"/>
      <c r="B26" s="14"/>
      <c r="C26" s="43"/>
      <c r="D26" s="175"/>
      <c r="E26" s="14"/>
      <c r="F26" s="43"/>
      <c r="G26" s="44" t="s">
        <v>28</v>
      </c>
      <c r="H26" s="58">
        <f>SUBTOTAL(109,'Arkusz obliczeniowy'!$H$23:$H$25)</f>
        <v>0</v>
      </c>
      <c r="I26" s="95" t="str">
        <f>IF(AND(I23="",I24="",I25=""),"","Niepoprawnie wypełnione dane")</f>
        <v>Niepoprawnie wypełnione dane</v>
      </c>
    </row>
    <row r="27" spans="3:4" ht="17.25" customHeight="1">
      <c r="C27" s="20"/>
      <c r="D27" s="20"/>
    </row>
    <row r="28" spans="1:9" ht="21">
      <c r="A28" s="213" t="s">
        <v>34</v>
      </c>
      <c r="B28" s="214"/>
      <c r="C28" s="215"/>
      <c r="D28" s="215"/>
      <c r="E28" s="215"/>
      <c r="F28" s="214"/>
      <c r="G28" s="214"/>
      <c r="H28" s="216"/>
      <c r="I28" s="127"/>
    </row>
    <row r="29" spans="1:9" s="157" customFormat="1" ht="57" customHeight="1">
      <c r="A29" s="154" t="s">
        <v>25</v>
      </c>
      <c r="B29" s="155" t="s">
        <v>38</v>
      </c>
      <c r="C29" s="158" t="s">
        <v>42</v>
      </c>
      <c r="D29" s="176" t="s">
        <v>52</v>
      </c>
      <c r="E29" s="155" t="s">
        <v>61</v>
      </c>
      <c r="F29" s="156" t="s">
        <v>67</v>
      </c>
      <c r="G29" s="154" t="s">
        <v>54</v>
      </c>
      <c r="H29" s="154" t="s">
        <v>55</v>
      </c>
      <c r="I29" s="154" t="s">
        <v>68</v>
      </c>
    </row>
    <row r="30" spans="1:9" ht="15">
      <c r="A30" s="110"/>
      <c r="B30" s="111"/>
      <c r="C30" s="110"/>
      <c r="D30" s="177">
        <f>IF(OR(A30="",B30="",C30=""),"",'Ilość odbioru odpadów'!$B$4)</f>
      </c>
      <c r="E30" s="200">
        <f>IF(D30="","",D30/12)</f>
      </c>
      <c r="F30" s="200">
        <f>IF(OR(A30="",B30="",C30=""),"",C30*E30)</f>
      </c>
      <c r="G30" s="112">
        <f>IF(OR(A30="",B30="",C30=""),"",IF('Arkusz obliczeniowy'!$B30&gt;1500,('Arkusz obliczeniowy'!$B30-1500)*'Wielkość urządzeń i stawki'!$B$10+'Wielkość urządzeń i stawki'!$B$9,IF('Arkusz obliczeniowy'!$A30="pojemnik",VLOOKUP('Arkusz obliczeniowy'!$B30,'Wielkość urządzeń i stawki'!$A$2:$C$9,2,FALSE),IF('Arkusz obliczeniowy'!$A30="worek",VLOOKUP('Arkusz obliczeniowy'!$B30,'Wielkość urządzeń i stawki'!$A$2:$C$9,3,FALSE),0))))</f>
      </c>
      <c r="H30" s="112">
        <f>IF(G30="","",ROUND(F30*G30,2))</f>
      </c>
      <c r="I30" s="113" t="str">
        <f>IF($H$33&gt;0,"","brak zadeklarowanego urządzenia do zbierania odpadów")</f>
        <v>brak zadeklarowanego urządzenia do zbierania odpadów</v>
      </c>
    </row>
    <row r="31" spans="1:9" ht="15">
      <c r="A31" s="72"/>
      <c r="B31" s="73"/>
      <c r="C31" s="72"/>
      <c r="D31" s="178">
        <f>IF(OR(A31="",B31="",C31=""),"",'Ilość odbioru odpadów'!$B$4)</f>
      </c>
      <c r="E31" s="193">
        <f>IF(D31="","",D31/12)</f>
      </c>
      <c r="F31" s="193">
        <f>IF(OR(A31="",B31="",C31=""),"",C31*E31)</f>
      </c>
      <c r="G31" s="73">
        <f>IF(OR(A31="",B31="",C31=""),"",IF('Arkusz obliczeniowy'!$B31&gt;1500,('Arkusz obliczeniowy'!$B31-1500)*'Wielkość urządzeń i stawki'!$B$10+'Wielkość urządzeń i stawki'!$B$9,IF('Arkusz obliczeniowy'!$A31="pojemnik",VLOOKUP('Arkusz obliczeniowy'!$B31,'Wielkość urządzeń i stawki'!$A$2:$C$9,2,FALSE),IF('Arkusz obliczeniowy'!$A31="worek",VLOOKUP('Arkusz obliczeniowy'!$B31,'Wielkość urządzeń i stawki'!$A$2:$C$9,3,FALSE),0))))</f>
      </c>
      <c r="H31" s="59">
        <f>IF(G31="","",ROUND(F31*G31,2))</f>
      </c>
      <c r="I31" s="37" t="str">
        <f>IF($H$33&gt;0,"","brak zadeklarowanego urządzenia do zbierania odpadów")</f>
        <v>brak zadeklarowanego urządzenia do zbierania odpadów</v>
      </c>
    </row>
    <row r="32" spans="1:9" ht="15.75" thickBot="1">
      <c r="A32" s="74"/>
      <c r="B32" s="75"/>
      <c r="C32" s="74"/>
      <c r="D32" s="177">
        <f>IF(OR(A32="",B32="",C32=""),"",'Ilość odbioru odpadów'!$B$4)</f>
      </c>
      <c r="E32" s="200">
        <f>IF(D32="","",D32/12)</f>
      </c>
      <c r="F32" s="200">
        <f>IF(OR(A32="",B32="",C32=""),"",C32*E32)</f>
      </c>
      <c r="G32" s="112">
        <f>IF(OR(A32="",B32="",C32=""),"",IF('Arkusz obliczeniowy'!$B32&gt;1500,('Arkusz obliczeniowy'!$B32-1500)*'Wielkość urządzeń i stawki'!$B$10+'Wielkość urządzeń i stawki'!$B$9,IF('Arkusz obliczeniowy'!$A32="pojemnik",VLOOKUP('Arkusz obliczeniowy'!$B32,'Wielkość urządzeń i stawki'!$A$2:$C$9,2,FALSE),IF('Arkusz obliczeniowy'!$A32="worek",VLOOKUP('Arkusz obliczeniowy'!$B32,'Wielkość urządzeń i stawki'!$A$2:$C$9,3,FALSE),0))))</f>
      </c>
      <c r="H32" s="60">
        <f>IF(G32="","",ROUND(F32*G32,2))</f>
      </c>
      <c r="I32" s="38" t="str">
        <f>IF($H$33&gt;0,"","brak zadeklarowanego urządzenia do zbierania odpadów")</f>
        <v>brak zadeklarowanego urządzenia do zbierania odpadów</v>
      </c>
    </row>
    <row r="33" spans="1:9" ht="15.75" thickTop="1">
      <c r="A33" s="39"/>
      <c r="B33" s="13"/>
      <c r="C33" s="39"/>
      <c r="D33" s="179"/>
      <c r="E33" s="13"/>
      <c r="F33" s="39"/>
      <c r="G33" s="40" t="s">
        <v>28</v>
      </c>
      <c r="H33" s="61">
        <f>SUBTOTAL(109,'Arkusz obliczeniowy'!$H$30:$H$32)</f>
        <v>0</v>
      </c>
      <c r="I33" s="13" t="str">
        <f>IF(AND(I30="",I31="",I32=""),"","Niepoprawnie wypełnione dane")</f>
        <v>Niepoprawnie wypełnione dane</v>
      </c>
    </row>
    <row r="34" spans="4:5" ht="15">
      <c r="D34" s="170"/>
      <c r="E34" s="171"/>
    </row>
    <row r="35" spans="1:9" ht="21">
      <c r="A35" s="217" t="s">
        <v>37</v>
      </c>
      <c r="B35" s="217"/>
      <c r="C35" s="217"/>
      <c r="D35" s="217"/>
      <c r="E35" s="217"/>
      <c r="F35" s="217"/>
      <c r="G35" s="217"/>
      <c r="H35" s="217"/>
      <c r="I35" s="27"/>
    </row>
    <row r="36" spans="1:9" ht="62.25">
      <c r="A36" s="118" t="s">
        <v>25</v>
      </c>
      <c r="B36" s="139" t="s">
        <v>38</v>
      </c>
      <c r="C36" s="149" t="s">
        <v>42</v>
      </c>
      <c r="D36" s="180" t="s">
        <v>52</v>
      </c>
      <c r="E36" s="139" t="s">
        <v>61</v>
      </c>
      <c r="F36" s="144" t="s">
        <v>67</v>
      </c>
      <c r="G36" s="118" t="s">
        <v>54</v>
      </c>
      <c r="H36" s="118" t="s">
        <v>55</v>
      </c>
      <c r="I36" s="118" t="s">
        <v>68</v>
      </c>
    </row>
    <row r="37" spans="1:9" ht="15">
      <c r="A37" s="114"/>
      <c r="B37" s="115"/>
      <c r="C37" s="114"/>
      <c r="D37" s="181">
        <f>IF(A37="Kompostownik","",IF(OR(A37="",B37="",C37=""),"",'Ilość odbioru odpadów'!$B$7))</f>
      </c>
      <c r="E37" s="201">
        <f>IF(D37="","",D37/12)</f>
      </c>
      <c r="F37" s="201">
        <f>IF(OR(A37="",B37="",C37=""),"",C37*E37)</f>
      </c>
      <c r="G37" s="116">
        <f>IF(A37="kompostownik","",IF(OR(A37="",B37="",C37=""),"",IF('Arkusz obliczeniowy'!$B37&gt;1500,('Arkusz obliczeniowy'!$B37-1500)*'Wielkość urządzeń i stawki'!$B$10+'Wielkość urządzeń i stawki'!$B$9,IF('Arkusz obliczeniowy'!$A37="pojemnik",VLOOKUP('Arkusz obliczeniowy'!$B37,'Wielkość urządzeń i stawki'!$A$2:$C$9,2,FALSE),IF('Arkusz obliczeniowy'!$A37="worek",VLOOKUP('Arkusz obliczeniowy'!$B37,'Wielkość urządzeń i stawki'!$A$2:$C$9,3,FALSE),0)))))</f>
      </c>
      <c r="H37" s="116">
        <f>IF(G37="","",ROUND(F37*G37,2))</f>
      </c>
      <c r="I37" s="117" t="str">
        <f>IF(AND($A$37="",$A$38="",$A$39=""),"brak zadeklarowanego urządzenia do zbierania odpadów",IF(AND($H$40=0,OR($A$37="pojemnik",$A$38="pojemnik",$A$39="pojemnik")),"brak zadeklarowanego pojemnika",""))</f>
        <v>brak zadeklarowanego urządzenia do zbierania odpadów</v>
      </c>
    </row>
    <row r="38" spans="1:9" ht="15">
      <c r="A38" s="84"/>
      <c r="B38" s="85"/>
      <c r="C38" s="84"/>
      <c r="D38" s="182">
        <f>IF(A38="Kompostownik","",IF(OR(A38="",B38="",C38=""),"",'Ilość odbioru odpadów'!$B$7))</f>
      </c>
      <c r="E38" s="194">
        <f>IF(D38="","",D38/12)</f>
      </c>
      <c r="F38" s="194">
        <f>IF(OR(A38="",B38="",C38=""),"",C38*E38)</f>
      </c>
      <c r="G38" s="85">
        <f>IF(A38="kompostownik","",IF(OR(A38="",B38="",C38=""),"",IF('Arkusz obliczeniowy'!$B38&gt;1500,('Arkusz obliczeniowy'!$B38-1500)*'Wielkość urządzeń i stawki'!$B$10+'Wielkość urządzeń i stawki'!$B$9,IF('Arkusz obliczeniowy'!$A38="pojemnik",VLOOKUP('Arkusz obliczeniowy'!$B38,'Wielkość urządzeń i stawki'!$A$2:$C$9,2,FALSE),IF('Arkusz obliczeniowy'!$A38="worek",VLOOKUP('Arkusz obliczeniowy'!$B38,'Wielkość urządzeń i stawki'!$A$2:$C$9,3,FALSE),0)))))</f>
      </c>
      <c r="H38" s="91">
        <f>IF(G38="","",ROUND(F38*G38,2))</f>
      </c>
      <c r="I38" s="93" t="str">
        <f>IF(AND($A$37="",$A$38="",$A$39=""),"brak zadeklarowanego urządzenia do zbierania odpadów",IF(AND($H$40=0,OR($A$37="pojemnik",$A$38="pojemnik",$A$39="pojemnik")),"brak zadeklarowanego pojemnika",""))</f>
        <v>brak zadeklarowanego urządzenia do zbierania odpadów</v>
      </c>
    </row>
    <row r="39" spans="1:9" ht="15.75" thickBot="1">
      <c r="A39" s="86"/>
      <c r="B39" s="87"/>
      <c r="C39" s="86"/>
      <c r="D39" s="181">
        <f>IF(A39="Kompostownik","",IF(OR(A39="",B39="",C39=""),"",'Ilość odbioru odpadów'!$B$7))</f>
      </c>
      <c r="E39" s="201">
        <f>IF(D39="","",D39/12)</f>
      </c>
      <c r="F39" s="201">
        <f>IF(OR(A39="",B39="",C39=""),"",C39*E39)</f>
      </c>
      <c r="G39" s="116">
        <f>IF(A39="kompostownik","",IF(OR(A39="",B39="",C39=""),"",IF('Arkusz obliczeniowy'!$B39&gt;1500,('Arkusz obliczeniowy'!$B39-1500)*'Wielkość urządzeń i stawki'!$B$10+'Wielkość urządzeń i stawki'!$B$9,IF('Arkusz obliczeniowy'!$A39="pojemnik",VLOOKUP('Arkusz obliczeniowy'!$B39,'Wielkość urządzeń i stawki'!$A$2:$C$9,2,FALSE),IF('Arkusz obliczeniowy'!$A39="worek",VLOOKUP('Arkusz obliczeniowy'!$B39,'Wielkość urządzeń i stawki'!$A$2:$C$9,3,FALSE),0)))))</f>
      </c>
      <c r="H39" s="92">
        <f>IF(G39="","",ROUND(F39*G39,2))</f>
      </c>
      <c r="I39" s="94" t="str">
        <f>IF(AND($A$37="",$A$38="",$A$39=""),"brak zadeklarowanego urządzenia do zbierania odpadów",IF(AND($H$40=0,OR($A$37="pojemnik",$A$38="pojemnik",$A$39="pojemnik")),"brak zadeklarowanego pojemnika",""))</f>
        <v>brak zadeklarowanego urządzenia do zbierania odpadów</v>
      </c>
    </row>
    <row r="40" spans="1:9" ht="15.75" thickTop="1">
      <c r="A40" s="49"/>
      <c r="B40" s="18"/>
      <c r="C40" s="49"/>
      <c r="D40" s="183"/>
      <c r="E40" s="18"/>
      <c r="F40" s="49"/>
      <c r="G40" s="50" t="s">
        <v>28</v>
      </c>
      <c r="H40" s="52">
        <f>SUBTOTAL(109,'Arkusz obliczeniowy'!$H$37:$H$39)</f>
        <v>0</v>
      </c>
      <c r="I40" s="18" t="str">
        <f>IF(AND(I37="",I38="",I39=""),"","Niepoprawnie wypełnione dane")</f>
        <v>Niepoprawnie wypełnione dane</v>
      </c>
    </row>
    <row r="41" spans="3:5" ht="15">
      <c r="C41" s="20"/>
      <c r="D41" s="20"/>
      <c r="E41" s="171"/>
    </row>
    <row r="42" spans="1:9" ht="21">
      <c r="A42" s="205" t="s">
        <v>36</v>
      </c>
      <c r="B42" s="205"/>
      <c r="C42" s="205"/>
      <c r="D42" s="205"/>
      <c r="E42" s="205"/>
      <c r="F42" s="205"/>
      <c r="G42" s="205"/>
      <c r="H42" s="205"/>
      <c r="I42" s="26"/>
    </row>
    <row r="43" spans="1:9" ht="62.25">
      <c r="A43" s="123" t="s">
        <v>25</v>
      </c>
      <c r="B43" s="140" t="s">
        <v>38</v>
      </c>
      <c r="C43" s="150" t="s">
        <v>42</v>
      </c>
      <c r="D43" s="184" t="s">
        <v>52</v>
      </c>
      <c r="E43" s="140" t="s">
        <v>61</v>
      </c>
      <c r="F43" s="145" t="s">
        <v>67</v>
      </c>
      <c r="G43" s="123" t="s">
        <v>54</v>
      </c>
      <c r="H43" s="123" t="s">
        <v>55</v>
      </c>
      <c r="I43" s="123" t="s">
        <v>68</v>
      </c>
    </row>
    <row r="44" spans="1:9" ht="15">
      <c r="A44" s="119"/>
      <c r="B44" s="120"/>
      <c r="C44" s="119"/>
      <c r="D44" s="185">
        <f>IF(OR(A44="",B44="",C44=""),"",'Ilość odbioru odpadów'!$B$6)</f>
      </c>
      <c r="E44" s="195">
        <f>IF(D44="","",D44/12)</f>
      </c>
      <c r="F44" s="195">
        <f>IF(OR(A44="",B44="",C44=""),"",C44*E44)</f>
      </c>
      <c r="G44" s="120">
        <f>IF(F44="","",IF('Arkusz obliczeniowy'!$B44&gt;1500,('Arkusz obliczeniowy'!$B44-1500)*'Wielkość urządzeń i stawki'!$B$10+'Wielkość urządzeń i stawki'!$B$9,IF('Arkusz obliczeniowy'!$A44="pojemnik",VLOOKUP('Arkusz obliczeniowy'!$B44,'Wielkość urządzeń i stawki'!$A$2:$C$9,2,FALSE),IF('Arkusz obliczeniowy'!$A44="worek",VLOOKUP('Arkusz obliczeniowy'!$B44,'Wielkość urządzeń i stawki'!$A$2:$C$9,3,FALSE),0))))</f>
      </c>
      <c r="H44" s="121">
        <f>IF(G44="","",ROUND(F44*G44,2))</f>
      </c>
      <c r="I44" s="122">
        <f>IF(AND(F44&lt;&gt;"",A44=""),"Brak zadeklarowanego urządzenia do zbierania odpadów",IF(AND(A44="pojemnik",OR(B44="",C44="")),"Niepoprawnie wprowadzone dane",""))</f>
      </c>
    </row>
    <row r="45" spans="1:9" ht="15">
      <c r="A45" s="80"/>
      <c r="B45" s="81"/>
      <c r="C45" s="80"/>
      <c r="D45" s="186">
        <f>IF(OR(A45="",B45="",C45=""),"",'Ilość odbioru odpadów'!$B$6)</f>
      </c>
      <c r="E45" s="196">
        <f>IF(D45="","",D45/12)</f>
      </c>
      <c r="F45" s="196">
        <f>IF(OR(A45="",B45="",C45=""),"",C45*E45)</f>
      </c>
      <c r="G45" s="81">
        <f>IF(F45="","",IF('Arkusz obliczeniowy'!$B45&gt;1500,('Arkusz obliczeniowy'!$B45-1500)*'Wielkość urządzeń i stawki'!$B$10+'Wielkość urządzeń i stawki'!$B$9,IF('Arkusz obliczeniowy'!$A45="pojemnik",VLOOKUP('Arkusz obliczeniowy'!$B45,'Wielkość urządzeń i stawki'!$A$2:$C$9,2,FALSE),IF('Arkusz obliczeniowy'!$A45="worek",VLOOKUP('Arkusz obliczeniowy'!$B45,'Wielkość urządzeń i stawki'!$A$2:$C$9,3,FALSE),0))))</f>
      </c>
      <c r="H45" s="53">
        <f>IF(G45="","",ROUND(F45*G45,2))</f>
      </c>
      <c r="I45" s="45"/>
    </row>
    <row r="46" spans="1:9" ht="15.75" thickBot="1">
      <c r="A46" s="82"/>
      <c r="B46" s="83"/>
      <c r="C46" s="82"/>
      <c r="D46" s="185">
        <f>IF(OR(A46="",B46="",C46=""),"",'Ilość odbioru odpadów'!$B$6)</f>
      </c>
      <c r="E46" s="197">
        <f>IF(D46="","",D46/12)</f>
      </c>
      <c r="F46" s="197">
        <f>IF(OR(A46="",B46="",C46=""),"",C46*E46)</f>
      </c>
      <c r="G46" s="83">
        <f>IF(F46="","",IF('Arkusz obliczeniowy'!$B46&gt;1500,('Arkusz obliczeniowy'!$B46-1500)*'Wielkość urządzeń i stawki'!$B$10+'Wielkość urządzeń i stawki'!$B$9,IF('Arkusz obliczeniowy'!$A46="pojemnik",VLOOKUP('Arkusz obliczeniowy'!$B46,'Wielkość urządzeń i stawki'!$A$2:$C$9,2,FALSE),IF('Arkusz obliczeniowy'!$A46="worek",VLOOKUP('Arkusz obliczeniowy'!$B46,'Wielkość urządzeń i stawki'!$A$2:$C$9,3,FALSE),0))))</f>
      </c>
      <c r="H46" s="54">
        <f>IF(G46="","",ROUND(F46*G46,2))</f>
      </c>
      <c r="I46" s="46"/>
    </row>
    <row r="47" spans="1:9" ht="15.75" thickTop="1">
      <c r="A47" s="47"/>
      <c r="B47" s="17"/>
      <c r="C47" s="47"/>
      <c r="D47" s="187"/>
      <c r="E47" s="17"/>
      <c r="F47" s="47"/>
      <c r="G47" s="48" t="s">
        <v>28</v>
      </c>
      <c r="H47" s="55">
        <f>SUBTOTAL(109,'Arkusz obliczeniowy'!$H$44:$H$46)</f>
        <v>0</v>
      </c>
      <c r="I47" s="17">
        <f>IF(AND(I44="",I45="",I46=""),"","Niepoprawnie wypełnione dane")</f>
      </c>
    </row>
    <row r="48" spans="1:7" ht="15">
      <c r="A48" s="20"/>
      <c r="B48" s="20"/>
      <c r="C48" s="20"/>
      <c r="D48" s="20"/>
      <c r="E48" s="171"/>
      <c r="F48" s="20"/>
      <c r="G48" s="20"/>
    </row>
    <row r="49" spans="1:8" ht="15">
      <c r="A49" s="219" t="s">
        <v>50</v>
      </c>
      <c r="B49" s="219"/>
      <c r="C49" s="219"/>
      <c r="D49" s="219"/>
      <c r="E49" s="219"/>
      <c r="F49" s="219"/>
      <c r="G49" s="219"/>
      <c r="H49" s="51" t="str">
        <f>IF(AND(I12="",I19="",I26="",I33="",I40="",I47=""),'Arkusz obliczeniowy'!$H$12+'Arkusz obliczeniowy'!$H$33+'Arkusz obliczeniowy'!$H$26+'Arkusz obliczeniowy'!$H$47+H19+'Arkusz obliczeniowy'!$H$40,"Błędnie wprowadzone dane w powyższych tabelach")</f>
        <v>Błędnie wprowadzone dane w powyższych tabelach</v>
      </c>
    </row>
    <row r="50" spans="1:8" ht="15">
      <c r="A50" s="164"/>
      <c r="B50" s="164"/>
      <c r="C50" s="164"/>
      <c r="D50" s="164"/>
      <c r="E50" s="164"/>
      <c r="F50" s="164"/>
      <c r="G50" s="164"/>
      <c r="H50" s="51"/>
    </row>
    <row r="51" spans="1:9" ht="31.5" customHeight="1">
      <c r="A51" s="165" t="s">
        <v>58</v>
      </c>
      <c r="B51" s="221"/>
      <c r="C51" s="221"/>
      <c r="D51" s="221"/>
      <c r="E51" s="221"/>
      <c r="F51" s="221"/>
      <c r="G51" s="221"/>
      <c r="H51" s="221"/>
      <c r="I51" s="8"/>
    </row>
    <row r="52" spans="1:9" ht="34.5" customHeight="1">
      <c r="A52" s="165" t="s">
        <v>56</v>
      </c>
      <c r="B52" s="221"/>
      <c r="C52" s="221"/>
      <c r="D52" s="221"/>
      <c r="E52" s="221"/>
      <c r="F52" s="221"/>
      <c r="G52" s="221"/>
      <c r="H52" s="221"/>
      <c r="I52" s="8"/>
    </row>
    <row r="53" spans="1:9" ht="34.5" customHeight="1">
      <c r="A53" s="133"/>
      <c r="B53" s="132"/>
      <c r="C53" s="132"/>
      <c r="D53" s="132"/>
      <c r="E53" s="132"/>
      <c r="F53" s="132"/>
      <c r="G53" s="132"/>
      <c r="H53" s="132"/>
      <c r="I53" s="132"/>
    </row>
    <row r="54" spans="1:11" ht="294" customHeight="1">
      <c r="A54" s="204" t="s">
        <v>71</v>
      </c>
      <c r="B54" s="204"/>
      <c r="C54" s="204"/>
      <c r="D54" s="204"/>
      <c r="E54" s="204"/>
      <c r="F54" s="204"/>
      <c r="G54" s="204"/>
      <c r="H54" s="204"/>
      <c r="I54" s="132"/>
      <c r="J54" s="132"/>
      <c r="K54" s="132"/>
    </row>
    <row r="55" ht="15">
      <c r="D55" s="20"/>
    </row>
    <row r="56" ht="15">
      <c r="D56" s="20"/>
    </row>
    <row r="57" ht="15">
      <c r="D57" s="20"/>
    </row>
    <row r="58" ht="15">
      <c r="D58" s="20"/>
    </row>
    <row r="59" ht="15">
      <c r="D59" s="20"/>
    </row>
    <row r="60" ht="15">
      <c r="D60" s="20"/>
    </row>
    <row r="61" ht="15">
      <c r="D61" s="20"/>
    </row>
    <row r="62" ht="15">
      <c r="D62" s="20"/>
    </row>
    <row r="63" ht="15">
      <c r="D63" s="20"/>
    </row>
    <row r="64" ht="15">
      <c r="D64" s="20"/>
    </row>
    <row r="65" ht="15">
      <c r="D65" s="20"/>
    </row>
    <row r="66" ht="15">
      <c r="D66" s="20"/>
    </row>
    <row r="67" ht="15">
      <c r="D67" s="2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</sheetData>
  <sheetProtection password="ED19" sheet="1"/>
  <protectedRanges>
    <protectedRange sqref="C44:C46" name="Rozstęp16"/>
    <protectedRange sqref="C30:C32" name="Rozstęp14"/>
    <protectedRange sqref="C23:C25" name="Rozstęp13"/>
    <protectedRange sqref="C9:C11" name="Rozstęp8"/>
    <protectedRange sqref="A9:B11" name="Rozstęp1"/>
    <protectedRange sqref="A16:B18" name="Rozstęp3"/>
    <protectedRange sqref="A23:B25" name="Rozstęp4"/>
    <protectedRange sqref="A30:B32" name="Rozstęp5"/>
    <protectedRange sqref="A37:B39" name="Rozstęp6"/>
    <protectedRange sqref="A44:B46" name="Rozstęp7"/>
    <protectedRange sqref="C16:C18" name="Rozstęp9"/>
    <protectedRange sqref="C16:C18" name="Rozstęp10"/>
    <protectedRange sqref="C23:C25" name="Rozstęp11"/>
    <protectedRange sqref="C30:C32" name="Rozstęp12"/>
    <protectedRange sqref="C37:C39" name="Rozstęp15"/>
  </protectedRanges>
  <mergeCells count="12">
    <mergeCell ref="B51:H51"/>
    <mergeCell ref="B52:H52"/>
    <mergeCell ref="A1:H1"/>
    <mergeCell ref="A54:H54"/>
    <mergeCell ref="A42:H42"/>
    <mergeCell ref="A7:H7"/>
    <mergeCell ref="A14:H14"/>
    <mergeCell ref="A21:H21"/>
    <mergeCell ref="A28:H28"/>
    <mergeCell ref="A35:H35"/>
    <mergeCell ref="A3:H3"/>
    <mergeCell ref="A49:G49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0">
      <selection activeCell="K19" sqref="K19"/>
    </sheetView>
  </sheetViews>
  <sheetFormatPr defaultColWidth="9.140625" defaultRowHeight="15"/>
  <cols>
    <col min="1" max="1" width="25.140625" style="0" customWidth="1"/>
    <col min="2" max="2" width="22.8515625" style="0" customWidth="1"/>
    <col min="3" max="3" width="15.57421875" style="0" customWidth="1"/>
    <col min="4" max="4" width="20.421875" style="0" customWidth="1"/>
    <col min="5" max="6" width="12.00390625" style="0" customWidth="1"/>
  </cols>
  <sheetData>
    <row r="1" spans="1:7" ht="50.25" customHeight="1">
      <c r="A1" s="220" t="s">
        <v>51</v>
      </c>
      <c r="B1" s="220"/>
      <c r="C1" s="220"/>
      <c r="D1" s="220"/>
      <c r="E1" s="220"/>
      <c r="F1" s="220"/>
      <c r="G1" s="220"/>
    </row>
    <row r="3" spans="1:7" ht="21">
      <c r="A3" s="23" t="s">
        <v>24</v>
      </c>
      <c r="B3" s="23"/>
      <c r="C3" s="23"/>
      <c r="D3" s="23"/>
      <c r="E3" s="23"/>
      <c r="F3" s="23"/>
      <c r="G3" s="23"/>
    </row>
    <row r="4" spans="1:7" ht="60">
      <c r="A4" s="8" t="s">
        <v>25</v>
      </c>
      <c r="B4" s="8" t="s">
        <v>38</v>
      </c>
      <c r="C4" s="8" t="s">
        <v>42</v>
      </c>
      <c r="D4" s="8" t="s">
        <v>44</v>
      </c>
      <c r="E4" s="8" t="s">
        <v>26</v>
      </c>
      <c r="F4" s="8" t="s">
        <v>27</v>
      </c>
      <c r="G4" s="8" t="s">
        <v>49</v>
      </c>
    </row>
    <row r="5" spans="1:7" ht="15">
      <c r="A5" t="s">
        <v>19</v>
      </c>
      <c r="B5">
        <v>1100</v>
      </c>
      <c r="C5">
        <v>1</v>
      </c>
      <c r="D5">
        <f>'Arkusz obliczeniowy 2'!$C5*'Ilość odbioru odpadów'!$C$2</f>
        <v>1.66</v>
      </c>
      <c r="E5">
        <f>IF('Arkusz obliczeniowy 2'!$B5&gt;1100,('Arkusz obliczeniowy 2'!$B5-1100)*'Wielkość urządzeń i stawki'!$B$10+'Wielkość urządzeń i stawki'!$B$8,IF('Arkusz obliczeniowy 2'!$A5="pojemnik",VLOOKUP('Arkusz obliczeniowy 2'!$B5,'Wielkość urządzeń i stawki'!A2:C8,2,FALSE),IF('Arkusz obliczeniowy 2'!$A5="worek",VLOOKUP('Arkusz obliczeniowy 2'!$B5,'Wielkość urządzeń i stawki'!A2:C8,3,FALSE),0)))</f>
        <v>58.2</v>
      </c>
      <c r="F5">
        <f>ROUNDDOWN('Arkusz obliczeniowy 2'!$D5*'Arkusz obliczeniowy 2'!$E5,2)</f>
        <v>96.61</v>
      </c>
      <c r="G5" s="21">
        <f>IF(AND('Arkusz obliczeniowy 2'!$A5="worek",'Arkusz obliczeniowy 2'!$B5&gt;240),"Zaplanowano zbyt dużej wielkości worki","")</f>
      </c>
    </row>
    <row r="6" spans="4:7" ht="15">
      <c r="D6">
        <f>'Arkusz obliczeniowy 2'!$C6*'Ilość odbioru odpadów'!$C$2</f>
        <v>0</v>
      </c>
      <c r="E6">
        <f>IF('Arkusz obliczeniowy 2'!$B6&gt;1100,('Arkusz obliczeniowy 2'!$B6-1100)*'Wielkość urządzeń i stawki'!$B$10+'Wielkość urządzeń i stawki'!$B$8,IF('Arkusz obliczeniowy 2'!$A6="pojemnik",VLOOKUP('Arkusz obliczeniowy 2'!$B6,'Wielkość urządzeń i stawki'!A3:C10,2,FALSE),IF('Arkusz obliczeniowy 2'!$A6="worek",VLOOKUP('Arkusz obliczeniowy 2'!$B6,'Wielkość urządzeń i stawki'!A3:C10,3,FALSE),0)))</f>
        <v>0</v>
      </c>
      <c r="F6">
        <f>ROUNDDOWN('Arkusz obliczeniowy 2'!$D6*'Arkusz obliczeniowy 2'!$E6,2)</f>
        <v>0</v>
      </c>
      <c r="G6" s="21">
        <f>IF(AND('Arkusz obliczeniowy 2'!$A6="worek",'Arkusz obliczeniowy 2'!$B6&gt;240),"Zaplanowano zbyt dużej wielkości worki","")</f>
      </c>
    </row>
    <row r="7" spans="4:7" ht="15">
      <c r="D7">
        <f>'Arkusz obliczeniowy 2'!$C7*'Ilość odbioru odpadów'!$C$2</f>
        <v>0</v>
      </c>
      <c r="E7">
        <f>IF('Arkusz obliczeniowy 2'!$B7&gt;1100,('Arkusz obliczeniowy 2'!$B7-1100)*'Wielkość urządzeń i stawki'!$B$10+'Wielkość urządzeń i stawki'!$B$8,IF('Arkusz obliczeniowy 2'!$A7="pojemnik",VLOOKUP('Arkusz obliczeniowy 2'!$B7,'Wielkość urządzeń i stawki'!A4:C11,2,FALSE),IF('Arkusz obliczeniowy 2'!$A7="worek",VLOOKUP('Arkusz obliczeniowy 2'!$B7,'Wielkość urządzeń i stawki'!A4:C11,3,FALSE),0)))</f>
        <v>0</v>
      </c>
      <c r="F7">
        <f>ROUNDDOWN('Arkusz obliczeniowy 2'!$D7*'Arkusz obliczeniowy 2'!$E7,2)</f>
        <v>0</v>
      </c>
      <c r="G7" s="21">
        <f>IF(AND('Arkusz obliczeniowy 2'!$A7="worek",'Arkusz obliczeniowy 2'!$B7&gt;240),"Zaplanowano zbyt dużej wielkości worki","")</f>
      </c>
    </row>
    <row r="8" spans="5:6" ht="15">
      <c r="E8" s="10" t="s">
        <v>28</v>
      </c>
      <c r="F8">
        <f>SUBTOTAL(109,F5:F7)</f>
        <v>96.61</v>
      </c>
    </row>
    <row r="10" spans="1:7" ht="21">
      <c r="A10" s="22" t="s">
        <v>33</v>
      </c>
      <c r="B10" s="22"/>
      <c r="C10" s="22"/>
      <c r="D10" s="22"/>
      <c r="E10" s="22"/>
      <c r="F10" s="22"/>
      <c r="G10" s="22"/>
    </row>
    <row r="11" spans="1:7" ht="60">
      <c r="A11" s="8" t="s">
        <v>25</v>
      </c>
      <c r="B11" s="8" t="s">
        <v>38</v>
      </c>
      <c r="C11" s="8" t="s">
        <v>42</v>
      </c>
      <c r="D11" s="8" t="s">
        <v>44</v>
      </c>
      <c r="E11" s="8" t="s">
        <v>26</v>
      </c>
      <c r="F11" s="8" t="s">
        <v>27</v>
      </c>
      <c r="G11" s="8" t="s">
        <v>49</v>
      </c>
    </row>
    <row r="12" spans="1:7" ht="15">
      <c r="A12" t="s">
        <v>19</v>
      </c>
      <c r="B12">
        <v>1100</v>
      </c>
      <c r="C12">
        <v>1</v>
      </c>
      <c r="D12">
        <f>'Arkusz obliczeniowy 2'!$C12*'Ilość odbioru odpadów'!$C$3</f>
        <v>1</v>
      </c>
      <c r="E12">
        <f>IF('Arkusz obliczeniowy 2'!$B12&gt;1100,('Arkusz obliczeniowy 2'!$B12-1100)*'Wielkość urządzeń i stawki'!$B$10+'Wielkość urządzeń i stawki'!$B$8,IF('Arkusz obliczeniowy 2'!$A12="pojemnik",VLOOKUP('Arkusz obliczeniowy 2'!$B12,'Wielkość urządzeń i stawki'!A2:C8,2,FALSE),IF('Arkusz obliczeniowy 2'!$A12="worek",VLOOKUP('Arkusz obliczeniowy 2'!$B12,'Wielkość urządzeń i stawki'!A2:C8,3,FALSE),0)))</f>
        <v>58.2</v>
      </c>
      <c r="F12">
        <f>ROUNDDOWN('Arkusz obliczeniowy 2'!$D12*'Arkusz obliczeniowy 2'!$E12,2)</f>
        <v>58.2</v>
      </c>
      <c r="G12" s="21">
        <f>IF(AND('Arkusz obliczeniowy 2'!$A12="worek",'Arkusz obliczeniowy 2'!$B12&gt;240),"Zaplanowano zbyt dużej wielkości worki","")</f>
      </c>
    </row>
    <row r="13" spans="1:7" ht="15">
      <c r="A13" t="s">
        <v>19</v>
      </c>
      <c r="B13">
        <v>1100</v>
      </c>
      <c r="C13">
        <v>2</v>
      </c>
      <c r="D13">
        <f>'Arkusz obliczeniowy 2'!$C13*'Ilość odbioru odpadów'!$C$3</f>
        <v>2</v>
      </c>
      <c r="E13">
        <f>IF('Arkusz obliczeniowy 2'!$B13&gt;1100,('Arkusz obliczeniowy 2'!$B13-1100)*'Wielkość urządzeń i stawki'!$B$10+'Wielkość urządzeń i stawki'!$B$8,IF('Arkusz obliczeniowy 2'!$A13="pojemnik",VLOOKUP('Arkusz obliczeniowy 2'!$B13,'Wielkość urządzeń i stawki'!A3:C10,2,FALSE),IF('Arkusz obliczeniowy 2'!$A13="worek",VLOOKUP('Arkusz obliczeniowy 2'!$B13,'Wielkość urządzeń i stawki'!A3:C10,3,FALSE),0)))</f>
        <v>58.2</v>
      </c>
      <c r="F13">
        <f>ROUNDDOWN('Arkusz obliczeniowy 2'!$D13*'Arkusz obliczeniowy 2'!$E13,2)</f>
        <v>116.4</v>
      </c>
      <c r="G13" s="21">
        <f>IF(AND('Arkusz obliczeniowy 2'!$A13="worek",'Arkusz obliczeniowy 2'!$B13&gt;240),"Zaplanowano zbyt dużej wielkości worki","")</f>
      </c>
    </row>
    <row r="14" spans="4:7" ht="15">
      <c r="D14">
        <f>'Arkusz obliczeniowy 2'!$C14*'Ilość odbioru odpadów'!$C$3</f>
        <v>0</v>
      </c>
      <c r="E14">
        <f>IF('Arkusz obliczeniowy 2'!$B14&gt;1100,('Arkusz obliczeniowy 2'!$B14-1100)*'Wielkość urządzeń i stawki'!$B$10+'Wielkość urządzeń i stawki'!$B$8,IF('Arkusz obliczeniowy 2'!$A14="pojemnik",VLOOKUP('Arkusz obliczeniowy 2'!$B14,'Wielkość urządzeń i stawki'!A4:C11,2,FALSE),IF('Arkusz obliczeniowy 2'!$A14="worek",VLOOKUP('Arkusz obliczeniowy 2'!$B14,'Wielkość urządzeń i stawki'!A4:C11,3,FALSE),0)))</f>
        <v>0</v>
      </c>
      <c r="F14">
        <f>ROUNDDOWN('Arkusz obliczeniowy 2'!$D14*'Arkusz obliczeniowy 2'!$E14,2)</f>
        <v>0</v>
      </c>
      <c r="G14" s="21">
        <f>IF(AND('Arkusz obliczeniowy 2'!$A14="worek",'Arkusz obliczeniowy 2'!$B14&gt;240),"Zaplanowano zbyt dużej wielkości worki","")</f>
      </c>
    </row>
    <row r="15" spans="5:6" ht="15">
      <c r="E15" s="10" t="s">
        <v>28</v>
      </c>
      <c r="F15">
        <f>SUBTOTAL(109,F12:F14)</f>
        <v>174.60000000000002</v>
      </c>
    </row>
    <row r="17" spans="1:7" ht="21">
      <c r="A17" s="24" t="s">
        <v>34</v>
      </c>
      <c r="B17" s="24"/>
      <c r="C17" s="24"/>
      <c r="D17" s="24"/>
      <c r="E17" s="24"/>
      <c r="F17" s="24"/>
      <c r="G17" s="24"/>
    </row>
    <row r="18" spans="1:7" ht="60">
      <c r="A18" s="8" t="s">
        <v>25</v>
      </c>
      <c r="B18" s="8" t="s">
        <v>38</v>
      </c>
      <c r="C18" s="8" t="s">
        <v>42</v>
      </c>
      <c r="D18" s="8" t="s">
        <v>44</v>
      </c>
      <c r="E18" s="8" t="s">
        <v>26</v>
      </c>
      <c r="F18" s="8" t="s">
        <v>27</v>
      </c>
      <c r="G18" s="8" t="s">
        <v>49</v>
      </c>
    </row>
    <row r="19" spans="1:7" ht="15">
      <c r="A19" t="s">
        <v>19</v>
      </c>
      <c r="B19">
        <v>1100</v>
      </c>
      <c r="C19">
        <v>1</v>
      </c>
      <c r="D19">
        <f>'Arkusz obliczeniowy 2'!$C19*'Ilość odbioru odpadów'!$C$4</f>
        <v>0.16</v>
      </c>
      <c r="E19">
        <f>IF('Arkusz obliczeniowy 2'!$B19&gt;1100,('Arkusz obliczeniowy 2'!$B19-1100)*'Wielkość urządzeń i stawki'!$B$10+'Wielkość urządzeń i stawki'!$B$8,IF('Arkusz obliczeniowy 2'!$A19="pojemnik",VLOOKUP('Arkusz obliczeniowy 2'!$B19,'Wielkość urządzeń i stawki'!A2:C8,2,FALSE),IF('Arkusz obliczeniowy 2'!$A19="worek",VLOOKUP('Arkusz obliczeniowy 2'!$B19,'Wielkość urządzeń i stawki'!A2:C8,3,FALSE),0)))</f>
        <v>58.2</v>
      </c>
      <c r="F19">
        <f>ROUNDDOWN('Arkusz obliczeniowy 2'!$D19*'Arkusz obliczeniowy 2'!$E19,2)</f>
        <v>9.31</v>
      </c>
      <c r="G19" s="21"/>
    </row>
    <row r="20" spans="4:7" ht="15">
      <c r="D20">
        <f>'Arkusz obliczeniowy 2'!$C20*'Ilość odbioru odpadów'!$C$4</f>
        <v>0</v>
      </c>
      <c r="E20">
        <f>IF('Arkusz obliczeniowy 2'!$B20&gt;1100,('Arkusz obliczeniowy 2'!$B20-1100)*'Wielkość urządzeń i stawki'!$B$10+'Wielkość urządzeń i stawki'!$B$8,IF('Arkusz obliczeniowy 2'!$A20="pojemnik",VLOOKUP('Arkusz obliczeniowy 2'!$B20,'Wielkość urządzeń i stawki'!A3:C10,2,FALSE),IF('Arkusz obliczeniowy 2'!$A20="worek",VLOOKUP('Arkusz obliczeniowy 2'!$B20,'Wielkość urządzeń i stawki'!A3:C10,3,FALSE),0)))</f>
        <v>0</v>
      </c>
      <c r="F20">
        <f>ROUNDDOWN('Arkusz obliczeniowy 2'!$D20*'Arkusz obliczeniowy 2'!$E20,2)</f>
        <v>0</v>
      </c>
      <c r="G20" s="21"/>
    </row>
    <row r="21" spans="4:7" ht="15">
      <c r="D21">
        <f>'Arkusz obliczeniowy 2'!$C21*'Ilość odbioru odpadów'!$C$4</f>
        <v>0</v>
      </c>
      <c r="E21">
        <f>IF('Arkusz obliczeniowy 2'!$B21&gt;1100,('Arkusz obliczeniowy 2'!$B21-1100)*'Wielkość urządzeń i stawki'!$B$10+'Wielkość urządzeń i stawki'!$B$8,IF('Arkusz obliczeniowy 2'!$A21="pojemnik",VLOOKUP('Arkusz obliczeniowy 2'!$B21,'Wielkość urządzeń i stawki'!A4:C11,2,FALSE),IF('Arkusz obliczeniowy 2'!$A21="worek",VLOOKUP('Arkusz obliczeniowy 2'!$B21,'Wielkość urządzeń i stawki'!A4:C11,3,FALSE),0)))</f>
        <v>0</v>
      </c>
      <c r="F21">
        <f>ROUNDDOWN('Arkusz obliczeniowy 2'!$D21*'Arkusz obliczeniowy 2'!$E21,2)</f>
        <v>0</v>
      </c>
      <c r="G21" s="21"/>
    </row>
    <row r="22" spans="5:6" ht="15">
      <c r="E22" s="9" t="s">
        <v>28</v>
      </c>
      <c r="F22">
        <f>SUBTOTAL(109,F19:F21)</f>
        <v>9.31</v>
      </c>
    </row>
    <row r="24" spans="1:7" ht="21">
      <c r="A24" s="25" t="s">
        <v>35</v>
      </c>
      <c r="B24" s="25"/>
      <c r="C24" s="25"/>
      <c r="D24" s="25"/>
      <c r="E24" s="25"/>
      <c r="F24" s="25"/>
      <c r="G24" s="25"/>
    </row>
    <row r="25" spans="1:7" ht="60">
      <c r="A25" s="8" t="s">
        <v>25</v>
      </c>
      <c r="B25" s="8" t="s">
        <v>38</v>
      </c>
      <c r="C25" s="8" t="s">
        <v>42</v>
      </c>
      <c r="D25" s="8" t="s">
        <v>44</v>
      </c>
      <c r="E25" s="8" t="s">
        <v>26</v>
      </c>
      <c r="F25" s="8" t="s">
        <v>27</v>
      </c>
      <c r="G25" s="8" t="s">
        <v>49</v>
      </c>
    </row>
    <row r="26" spans="1:7" ht="15">
      <c r="A26" t="s">
        <v>19</v>
      </c>
      <c r="B26">
        <v>1100</v>
      </c>
      <c r="C26">
        <v>1</v>
      </c>
      <c r="D26">
        <f>'Arkusz obliczeniowy 2'!$C26*'Ilość odbioru odpadów'!$C$5</f>
        <v>0.33</v>
      </c>
      <c r="E26">
        <f>IF('Arkusz obliczeniowy 2'!$B26&gt;1100,('Arkusz obliczeniowy 2'!$B26-1100)*'Wielkość urządzeń i stawki'!$B$10+'Wielkość urządzeń i stawki'!$B$8,IF('Arkusz obliczeniowy 2'!$A26="pojemnik",VLOOKUP('Arkusz obliczeniowy 2'!$B26,'Wielkość urządzeń i stawki'!A2:C8,2,FALSE),IF('Arkusz obliczeniowy 2'!$A26="worek",VLOOKUP('Arkusz obliczeniowy 2'!$B26,'Wielkość urządzeń i stawki'!A2:C8,3,FALSE),0)))</f>
        <v>58.2</v>
      </c>
      <c r="F26">
        <f>ROUNDDOWN('Arkusz obliczeniowy 2'!$D26*'Arkusz obliczeniowy 2'!$E26,2)</f>
        <v>19.2</v>
      </c>
      <c r="G26" s="21"/>
    </row>
    <row r="27" spans="4:7" ht="15">
      <c r="D27">
        <f>'Arkusz obliczeniowy 2'!$C27*'Ilość odbioru odpadów'!$C$5</f>
        <v>0</v>
      </c>
      <c r="E27">
        <f>IF('Arkusz obliczeniowy 2'!$B27&gt;1100,('Arkusz obliczeniowy 2'!$B27-1100)*'Wielkość urządzeń i stawki'!$B$10+'Wielkość urządzeń i stawki'!$B$8,IF('Arkusz obliczeniowy 2'!$A27="pojemnik",VLOOKUP('Arkusz obliczeniowy 2'!$B27,'Wielkość urządzeń i stawki'!A3:C10,2,FALSE),IF('Arkusz obliczeniowy 2'!$A27="worek",VLOOKUP('Arkusz obliczeniowy 2'!$B27,'Wielkość urządzeń i stawki'!A3:C10,3,FALSE),0)))</f>
        <v>0</v>
      </c>
      <c r="F27">
        <f>ROUNDDOWN('Arkusz obliczeniowy 2'!$D27*'Arkusz obliczeniowy 2'!$E27,2)</f>
        <v>0</v>
      </c>
      <c r="G27" s="21"/>
    </row>
    <row r="28" spans="4:7" ht="15">
      <c r="D28">
        <f>'Arkusz obliczeniowy 2'!$C28*'Ilość odbioru odpadów'!$C$5</f>
        <v>0</v>
      </c>
      <c r="E28">
        <f>IF('Arkusz obliczeniowy 2'!$B28&gt;1100,('Arkusz obliczeniowy 2'!$B28-1100)*'Wielkość urządzeń i stawki'!$B$10+'Wielkość urządzeń i stawki'!$B$8,IF('Arkusz obliczeniowy 2'!$A28="pojemnik",VLOOKUP('Arkusz obliczeniowy 2'!$B28,'Wielkość urządzeń i stawki'!A4:C11,2,FALSE),IF('Arkusz obliczeniowy 2'!$A28="worek",VLOOKUP('Arkusz obliczeniowy 2'!$B28,'Wielkość urządzeń i stawki'!A4:C11,3,FALSE),0)))</f>
        <v>0</v>
      </c>
      <c r="F28">
        <f>ROUNDDOWN('Arkusz obliczeniowy 2'!$D28*'Arkusz obliczeniowy 2'!$E28,2)</f>
        <v>0</v>
      </c>
      <c r="G28" s="21"/>
    </row>
    <row r="29" spans="5:6" ht="15">
      <c r="E29" s="9" t="s">
        <v>28</v>
      </c>
      <c r="F29">
        <f>SUBTOTAL(109,F26:F28)</f>
        <v>19.2</v>
      </c>
    </row>
    <row r="31" spans="1:7" ht="21">
      <c r="A31" s="26" t="s">
        <v>36</v>
      </c>
      <c r="B31" s="26"/>
      <c r="C31" s="26"/>
      <c r="D31" s="26"/>
      <c r="E31" s="26"/>
      <c r="F31" s="26"/>
      <c r="G31" s="26"/>
    </row>
    <row r="32" spans="1:7" ht="60">
      <c r="A32" s="8" t="s">
        <v>25</v>
      </c>
      <c r="B32" s="8" t="s">
        <v>38</v>
      </c>
      <c r="C32" s="8" t="s">
        <v>42</v>
      </c>
      <c r="D32" s="8" t="s">
        <v>44</v>
      </c>
      <c r="E32" s="8" t="s">
        <v>26</v>
      </c>
      <c r="F32" s="8" t="s">
        <v>27</v>
      </c>
      <c r="G32" s="8" t="s">
        <v>49</v>
      </c>
    </row>
    <row r="33" spans="1:7" ht="15">
      <c r="A33" t="s">
        <v>19</v>
      </c>
      <c r="B33">
        <v>1100</v>
      </c>
      <c r="C33">
        <v>1</v>
      </c>
      <c r="D33">
        <f>'Arkusz obliczeniowy 2'!$C33*'Ilość odbioru odpadów'!$C$6</f>
        <v>0.66</v>
      </c>
      <c r="E33">
        <f>IF('Arkusz obliczeniowy 2'!$B33&gt;1100,('Arkusz obliczeniowy 2'!$B33-1100)*'Wielkość urządzeń i stawki'!$B$10+'Wielkość urządzeń i stawki'!$B$8,IF('Arkusz obliczeniowy 2'!$A33="pojemnik",VLOOKUP('Arkusz obliczeniowy 2'!$B33,'Wielkość urządzeń i stawki'!A2:C8,2,FALSE),IF('Arkusz obliczeniowy 2'!$A33="worek",VLOOKUP('Arkusz obliczeniowy 2'!$B33,'Wielkość urządzeń i stawki'!A2:C8,3,FALSE),0)))</f>
        <v>58.2</v>
      </c>
      <c r="F33">
        <f>ROUNDDOWN('Arkusz obliczeniowy 2'!$D33*'Arkusz obliczeniowy 2'!$E33,2)</f>
        <v>38.41</v>
      </c>
      <c r="G33" s="21"/>
    </row>
    <row r="34" spans="4:7" ht="15">
      <c r="D34">
        <f>'Arkusz obliczeniowy 2'!$C34*'Ilość odbioru odpadów'!$C$6</f>
        <v>0</v>
      </c>
      <c r="E34">
        <f>IF('Arkusz obliczeniowy 2'!$B34&gt;1100,('Arkusz obliczeniowy 2'!$B34-1100)*'Wielkość urządzeń i stawki'!$B$10+'Wielkość urządzeń i stawki'!$B$8,IF('Arkusz obliczeniowy 2'!$A34="pojemnik",VLOOKUP('Arkusz obliczeniowy 2'!$B34,'Wielkość urządzeń i stawki'!A3:C10,2,FALSE),IF('Arkusz obliczeniowy 2'!$A34="worek",VLOOKUP('Arkusz obliczeniowy 2'!$B34,'Wielkość urządzeń i stawki'!A3:C10,3,FALSE),0)))</f>
        <v>0</v>
      </c>
      <c r="F34">
        <f>ROUNDDOWN('Arkusz obliczeniowy 2'!$D34*'Arkusz obliczeniowy 2'!$E34,2)</f>
        <v>0</v>
      </c>
      <c r="G34" s="21"/>
    </row>
    <row r="35" spans="4:7" ht="15">
      <c r="D35">
        <f>'Arkusz obliczeniowy 2'!$C35*'Ilość odbioru odpadów'!$C$6</f>
        <v>0</v>
      </c>
      <c r="E35">
        <f>IF('Arkusz obliczeniowy 2'!$B35&gt;1100,('Arkusz obliczeniowy 2'!$B35-1100)*'Wielkość urządzeń i stawki'!$B$10+'Wielkość urządzeń i stawki'!$B$8,IF('Arkusz obliczeniowy 2'!$A35="pojemnik",VLOOKUP('Arkusz obliczeniowy 2'!$B35,'Wielkość urządzeń i stawki'!A4:C11,2,FALSE),IF('Arkusz obliczeniowy 2'!$A35="worek",VLOOKUP('Arkusz obliczeniowy 2'!$B35,'Wielkość urządzeń i stawki'!A4:C11,3,FALSE),0)))</f>
        <v>0</v>
      </c>
      <c r="F35">
        <f>ROUNDDOWN('Arkusz obliczeniowy 2'!$D35*'Arkusz obliczeniowy 2'!$E35,2)</f>
        <v>0</v>
      </c>
      <c r="G35" s="21"/>
    </row>
    <row r="36" spans="5:6" ht="15">
      <c r="E36" s="9" t="s">
        <v>28</v>
      </c>
      <c r="F36">
        <f>SUBTOTAL(109,F33:F35)</f>
        <v>38.41</v>
      </c>
    </row>
    <row r="38" spans="1:7" ht="21">
      <c r="A38" s="27" t="s">
        <v>37</v>
      </c>
      <c r="B38" s="27"/>
      <c r="C38" s="27"/>
      <c r="D38" s="27"/>
      <c r="E38" s="27"/>
      <c r="F38" s="27"/>
      <c r="G38" s="27"/>
    </row>
    <row r="39" spans="1:7" ht="60">
      <c r="A39" s="8" t="s">
        <v>25</v>
      </c>
      <c r="B39" s="8" t="s">
        <v>38</v>
      </c>
      <c r="C39" s="8" t="s">
        <v>42</v>
      </c>
      <c r="D39" s="8" t="s">
        <v>44</v>
      </c>
      <c r="E39" s="8" t="s">
        <v>26</v>
      </c>
      <c r="F39" s="8" t="s">
        <v>27</v>
      </c>
      <c r="G39" s="8" t="s">
        <v>49</v>
      </c>
    </row>
    <row r="40" spans="1:7" ht="15">
      <c r="A40" t="s">
        <v>19</v>
      </c>
      <c r="B40">
        <v>1100</v>
      </c>
      <c r="C40">
        <v>1</v>
      </c>
      <c r="D40">
        <f>'Arkusz obliczeniowy 2'!$C40*'Ilość odbioru odpadów'!$C$7</f>
        <v>1.75</v>
      </c>
      <c r="E40">
        <f>IF('Arkusz obliczeniowy 2'!$B40&gt;1100,('Arkusz obliczeniowy 2'!$B40-1100)*'Wielkość urządzeń i stawki'!$B$10+'Wielkość urządzeń i stawki'!$B$8,IF('Arkusz obliczeniowy 2'!$A40="pojemnik",VLOOKUP('Arkusz obliczeniowy 2'!$B40,'Wielkość urządzeń i stawki'!A2:C8,2,FALSE),IF('Arkusz obliczeniowy 2'!$A40="worek",VLOOKUP('Arkusz obliczeniowy 2'!$B40,'Wielkość urządzeń i stawki'!A2:C8,3,FALSE),0)))</f>
        <v>58.2</v>
      </c>
      <c r="F40">
        <f>ROUNDDOWN('Arkusz obliczeniowy 2'!$D40*'Arkusz obliczeniowy 2'!$E40,2)</f>
        <v>101.85</v>
      </c>
      <c r="G40" s="21"/>
    </row>
    <row r="41" spans="4:7" ht="15">
      <c r="D41">
        <f>'Arkusz obliczeniowy 2'!$C41*'Ilość odbioru odpadów'!$C$7</f>
        <v>0</v>
      </c>
      <c r="E41">
        <f>IF('Arkusz obliczeniowy 2'!$B41&gt;1100,('Arkusz obliczeniowy 2'!$B41-1100)*'Wielkość urządzeń i stawki'!$B$10+'Wielkość urządzeń i stawki'!$B$8,IF('Arkusz obliczeniowy 2'!$A41="pojemnik",VLOOKUP('Arkusz obliczeniowy 2'!$B41,'Wielkość urządzeń i stawki'!A3:C10,2,FALSE),IF('Arkusz obliczeniowy 2'!$A41="worek",VLOOKUP('Arkusz obliczeniowy 2'!$B41,'Wielkość urządzeń i stawki'!A3:C10,3,FALSE),0)))</f>
        <v>0</v>
      </c>
      <c r="F41">
        <f>ROUNDDOWN('Arkusz obliczeniowy 2'!$D41*'Arkusz obliczeniowy 2'!$E41,2)</f>
        <v>0</v>
      </c>
      <c r="G41" s="21"/>
    </row>
    <row r="42" spans="4:7" ht="15">
      <c r="D42">
        <f>'Arkusz obliczeniowy 2'!$C42*'Ilość odbioru odpadów'!$C$7</f>
        <v>0</v>
      </c>
      <c r="E42">
        <f>IF('Arkusz obliczeniowy 2'!$B42&gt;1100,('Arkusz obliczeniowy 2'!$B42-1100)*'Wielkość urządzeń i stawki'!$B$10+'Wielkość urządzeń i stawki'!$B$8,IF('Arkusz obliczeniowy 2'!$A42="pojemnik",VLOOKUP('Arkusz obliczeniowy 2'!$B42,'Wielkość urządzeń i stawki'!A4:C11,2,FALSE),IF('Arkusz obliczeniowy 2'!$A42="worek",VLOOKUP('Arkusz obliczeniowy 2'!$B42,'Wielkość urządzeń i stawki'!A4:C11,3,FALSE),0)))</f>
        <v>0</v>
      </c>
      <c r="F42">
        <f>ROUNDDOWN('Arkusz obliczeniowy 2'!$D42*'Arkusz obliczeniowy 2'!$E42,2)</f>
        <v>0</v>
      </c>
      <c r="G42" s="21"/>
    </row>
    <row r="43" spans="5:6" ht="15">
      <c r="E43" s="9" t="s">
        <v>28</v>
      </c>
      <c r="F43">
        <f>SUBTOTAL(109,F40:F42)</f>
        <v>101.85</v>
      </c>
    </row>
    <row r="45" spans="1:6" ht="15">
      <c r="A45" s="28" t="s">
        <v>50</v>
      </c>
      <c r="B45" s="28"/>
      <c r="C45" s="28"/>
      <c r="D45" s="28"/>
      <c r="E45" s="28"/>
      <c r="F45" s="19">
        <f>'Arkusz obliczeniowy 2'!$F$8+'Arkusz obliczeniowy 2'!$F$22+'Arkusz obliczeniowy 2'!$F$29+'Arkusz obliczeniowy 2'!$F$36+'Arkusz obliczeniowy 2'!$F$43</f>
        <v>265.38</v>
      </c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9.7109375" style="0" customWidth="1"/>
    <col min="2" max="2" width="41.28125" style="0" customWidth="1"/>
  </cols>
  <sheetData>
    <row r="1" ht="15">
      <c r="A1" t="s">
        <v>29</v>
      </c>
    </row>
    <row r="2" spans="1:3" ht="15">
      <c r="A2" t="s">
        <v>24</v>
      </c>
      <c r="B2" t="s">
        <v>30</v>
      </c>
      <c r="C2" t="s">
        <v>31</v>
      </c>
    </row>
    <row r="3" spans="1:3" ht="15">
      <c r="A3" t="s">
        <v>19</v>
      </c>
      <c r="B3" t="s">
        <v>19</v>
      </c>
      <c r="C3" t="s">
        <v>19</v>
      </c>
    </row>
    <row r="4" spans="2:3" ht="15">
      <c r="B4" t="s">
        <v>16</v>
      </c>
      <c r="C4" t="s">
        <v>32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G26" sqref="G26"/>
    </sheetView>
  </sheetViews>
  <sheetFormatPr defaultColWidth="9.140625" defaultRowHeight="15"/>
  <cols>
    <col min="2" max="2" width="11.57421875" style="0" customWidth="1"/>
    <col min="3" max="3" width="17.7109375" style="0" customWidth="1"/>
  </cols>
  <sheetData>
    <row r="1" spans="1:3" ht="15">
      <c r="A1" t="s">
        <v>45</v>
      </c>
      <c r="B1" t="s">
        <v>46</v>
      </c>
      <c r="C1" t="s">
        <v>47</v>
      </c>
    </row>
    <row r="2" spans="1:3" ht="15">
      <c r="A2" s="15">
        <v>60</v>
      </c>
      <c r="B2" s="129">
        <v>3.17</v>
      </c>
      <c r="C2" s="15">
        <v>9.09</v>
      </c>
    </row>
    <row r="3" spans="1:3" ht="15">
      <c r="A3" s="16">
        <v>80</v>
      </c>
      <c r="B3" s="130">
        <v>4.23</v>
      </c>
      <c r="C3" s="16">
        <v>12.12</v>
      </c>
    </row>
    <row r="4" spans="1:3" ht="15">
      <c r="A4" s="15">
        <v>120</v>
      </c>
      <c r="B4" s="129">
        <v>6.34</v>
      </c>
      <c r="C4" s="15">
        <v>18.19</v>
      </c>
    </row>
    <row r="5" spans="1:3" ht="15">
      <c r="A5" s="16">
        <v>240</v>
      </c>
      <c r="B5" s="130">
        <v>12.69</v>
      </c>
      <c r="C5" s="16">
        <v>36.38</v>
      </c>
    </row>
    <row r="6" spans="1:3" ht="15">
      <c r="A6" s="15">
        <v>360</v>
      </c>
      <c r="B6" s="129">
        <v>19.04</v>
      </c>
      <c r="C6" t="s">
        <v>48</v>
      </c>
    </row>
    <row r="7" spans="1:3" ht="15">
      <c r="A7" s="16">
        <v>660</v>
      </c>
      <c r="B7" s="130">
        <v>34.92</v>
      </c>
      <c r="C7" t="s">
        <v>48</v>
      </c>
    </row>
    <row r="8" spans="1:3" ht="15">
      <c r="A8" s="15">
        <v>1100</v>
      </c>
      <c r="B8" s="129">
        <v>58.2</v>
      </c>
      <c r="C8" t="s">
        <v>48</v>
      </c>
    </row>
    <row r="9" spans="1:3" ht="15">
      <c r="A9" s="128">
        <v>1500</v>
      </c>
      <c r="B9" s="129">
        <v>79.36</v>
      </c>
      <c r="C9" s="20" t="s">
        <v>48</v>
      </c>
    </row>
    <row r="10" spans="1:3" ht="15">
      <c r="A10" t="s">
        <v>59</v>
      </c>
      <c r="B10" s="131">
        <v>0.05</v>
      </c>
      <c r="C10" s="20" t="s">
        <v>48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C6" sqref="C6:C12"/>
    </sheetView>
  </sheetViews>
  <sheetFormatPr defaultColWidth="9.140625" defaultRowHeight="15"/>
  <cols>
    <col min="4" max="4" width="9.140625" style="0" customWidth="1"/>
    <col min="9" max="9" width="12.7109375" style="0" customWidth="1"/>
    <col min="10" max="10" width="9.8515625" style="0" bestFit="1" customWidth="1"/>
    <col min="11" max="11" width="18.7109375" style="0" customWidth="1"/>
    <col min="12" max="12" width="16.00390625" style="0" customWidth="1"/>
    <col min="25" max="25" width="11.140625" style="0" customWidth="1"/>
    <col min="26" max="26" width="13.28125" style="0" customWidth="1"/>
    <col min="27" max="27" width="11.28125" style="0" customWidth="1"/>
    <col min="28" max="28" width="16.7109375" style="0" customWidth="1"/>
  </cols>
  <sheetData>
    <row r="1" spans="2:8" ht="159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28" ht="15">
      <c r="A2" t="s">
        <v>7</v>
      </c>
      <c r="B2">
        <v>60</v>
      </c>
      <c r="C2" s="2">
        <f aca="true" t="shared" si="0" ref="C2:C12">ROUNDDOWN(IF(A2="pojemnik",B2/1100*L$3,IF(A2="worek",B2/120*L$4,"Określ czy worek, czy pojemnik")),2)</f>
        <v>9.09</v>
      </c>
      <c r="D2" s="2">
        <f aca="true" t="shared" si="1" ref="D2:D11">C2*4</f>
        <v>36.36</v>
      </c>
      <c r="E2" s="1"/>
      <c r="F2" s="3">
        <v>33</v>
      </c>
      <c r="G2" s="3">
        <v>60</v>
      </c>
      <c r="H2" s="2">
        <f>'Stawki - działalność'!$B2/120*L$4</f>
        <v>9.095</v>
      </c>
      <c r="I2" t="s">
        <v>8</v>
      </c>
      <c r="L2" s="2">
        <v>1819</v>
      </c>
      <c r="R2" t="s">
        <v>9</v>
      </c>
      <c r="S2" s="4"/>
      <c r="T2" s="4"/>
      <c r="X2" s="2">
        <v>1819</v>
      </c>
      <c r="AB2" s="2"/>
    </row>
    <row r="3" spans="1:28" ht="15">
      <c r="A3" t="s">
        <v>7</v>
      </c>
      <c r="B3">
        <v>80</v>
      </c>
      <c r="C3" s="2">
        <f t="shared" si="0"/>
        <v>12.12</v>
      </c>
      <c r="D3" s="2">
        <f t="shared" si="1"/>
        <v>48.48</v>
      </c>
      <c r="E3" s="1"/>
      <c r="F3" s="3"/>
      <c r="G3" s="3"/>
      <c r="H3" s="2">
        <f>'Stawki - działalność'!$B3/120*L$4</f>
        <v>12.126666666666667</v>
      </c>
      <c r="I3" t="s">
        <v>10</v>
      </c>
      <c r="L3" s="2">
        <f>ROUNDDOWN(L2*0.032,2)</f>
        <v>58.2</v>
      </c>
      <c r="N3">
        <v>0.0529</v>
      </c>
      <c r="S3" s="2"/>
      <c r="T3" s="2"/>
      <c r="W3" t="s">
        <v>11</v>
      </c>
      <c r="X3" t="s">
        <v>12</v>
      </c>
      <c r="Y3" t="s">
        <v>13</v>
      </c>
      <c r="AA3" t="s">
        <v>14</v>
      </c>
      <c r="AB3" s="2"/>
    </row>
    <row r="4" spans="1:28" ht="15">
      <c r="A4" t="s">
        <v>7</v>
      </c>
      <c r="B4">
        <v>120</v>
      </c>
      <c r="C4" s="2">
        <f t="shared" si="0"/>
        <v>18.19</v>
      </c>
      <c r="D4" s="2">
        <f t="shared" si="1"/>
        <v>72.76</v>
      </c>
      <c r="E4" s="1"/>
      <c r="F4" s="3">
        <v>45</v>
      </c>
      <c r="G4" s="3">
        <v>90</v>
      </c>
      <c r="H4" s="2">
        <f>'Stawki - działalność'!$B4/120*L$4</f>
        <v>18.19</v>
      </c>
      <c r="I4" t="s">
        <v>15</v>
      </c>
      <c r="L4" s="2">
        <f>ROUNDDOWN(L2*0.01,2)</f>
        <v>18.19</v>
      </c>
      <c r="N4">
        <v>0.1516</v>
      </c>
      <c r="R4" t="s">
        <v>16</v>
      </c>
      <c r="S4" s="2">
        <f>ROUNDDOWN(W4*$X$2,2)</f>
        <v>18.19</v>
      </c>
      <c r="T4" s="2">
        <f>S4*4</f>
        <v>72.76</v>
      </c>
      <c r="U4" t="s">
        <v>17</v>
      </c>
      <c r="W4" s="5">
        <v>0.01</v>
      </c>
      <c r="X4">
        <v>120</v>
      </c>
      <c r="Y4" t="s">
        <v>18</v>
      </c>
      <c r="AA4" s="2">
        <f>S4/X4</f>
        <v>0.15158333333333335</v>
      </c>
      <c r="AB4" s="2"/>
    </row>
    <row r="5" spans="1:28" ht="15">
      <c r="A5" t="s">
        <v>7</v>
      </c>
      <c r="B5">
        <v>240</v>
      </c>
      <c r="C5" s="2">
        <f t="shared" si="0"/>
        <v>36.38</v>
      </c>
      <c r="D5" s="2">
        <f t="shared" si="1"/>
        <v>145.52</v>
      </c>
      <c r="E5" s="1"/>
      <c r="F5" s="3">
        <v>65</v>
      </c>
      <c r="G5" s="3">
        <v>130</v>
      </c>
      <c r="H5" s="2">
        <f>'Stawki - działalność'!$B5/120*L$4</f>
        <v>36.38</v>
      </c>
      <c r="R5" t="s">
        <v>19</v>
      </c>
      <c r="S5" s="2">
        <f>ROUNDDOWN(W5*$X$2,2)</f>
        <v>58.2</v>
      </c>
      <c r="T5" s="2">
        <f>S5*4</f>
        <v>232.8</v>
      </c>
      <c r="U5" t="s">
        <v>20</v>
      </c>
      <c r="W5" s="6">
        <v>0.032</v>
      </c>
      <c r="X5">
        <v>1100</v>
      </c>
      <c r="Y5" t="s">
        <v>18</v>
      </c>
      <c r="AA5" s="2">
        <f>S5/X5</f>
        <v>0.05290909090909091</v>
      </c>
      <c r="AB5" s="2"/>
    </row>
    <row r="6" spans="1:28" ht="15">
      <c r="A6" t="s">
        <v>21</v>
      </c>
      <c r="B6">
        <v>60</v>
      </c>
      <c r="C6" s="2">
        <f t="shared" si="0"/>
        <v>3.17</v>
      </c>
      <c r="D6" s="2">
        <f t="shared" si="1"/>
        <v>12.68</v>
      </c>
      <c r="E6" s="1"/>
      <c r="F6" s="3">
        <v>33</v>
      </c>
      <c r="G6" s="3">
        <v>60</v>
      </c>
      <c r="H6" s="2">
        <f>'Stawki - działalność'!$B6/1100*L$3</f>
        <v>3.1745454545454543</v>
      </c>
      <c r="AB6" s="2"/>
    </row>
    <row r="7" spans="1:28" ht="15">
      <c r="A7" t="s">
        <v>21</v>
      </c>
      <c r="B7">
        <v>80</v>
      </c>
      <c r="C7" s="2">
        <f t="shared" si="0"/>
        <v>4.23</v>
      </c>
      <c r="D7" s="2">
        <f t="shared" si="1"/>
        <v>16.92</v>
      </c>
      <c r="E7" s="1"/>
      <c r="F7" s="3"/>
      <c r="G7" s="3"/>
      <c r="H7" s="2">
        <f>'Stawki - działalność'!$B7/1100*L$3</f>
        <v>4.2327272727272724</v>
      </c>
      <c r="AB7" s="2"/>
    </row>
    <row r="8" spans="1:12" ht="15">
      <c r="A8" t="s">
        <v>21</v>
      </c>
      <c r="B8">
        <v>120</v>
      </c>
      <c r="C8" s="2">
        <f t="shared" si="0"/>
        <v>6.34</v>
      </c>
      <c r="D8" s="2">
        <f t="shared" si="1"/>
        <v>25.36</v>
      </c>
      <c r="E8" s="1"/>
      <c r="F8" s="3">
        <v>45</v>
      </c>
      <c r="G8" s="3">
        <v>90</v>
      </c>
      <c r="H8" s="2">
        <f>'Stawki - działalność'!$B8/1100*L$3</f>
        <v>6.349090909090909</v>
      </c>
      <c r="K8">
        <f>1500/1100*58.2</f>
        <v>79.36363636363636</v>
      </c>
      <c r="L8" s="7">
        <f>3.2%*1819</f>
        <v>58.208</v>
      </c>
    </row>
    <row r="9" spans="1:8" ht="15">
      <c r="A9" t="s">
        <v>21</v>
      </c>
      <c r="B9">
        <v>240</v>
      </c>
      <c r="C9" s="2">
        <f t="shared" si="0"/>
        <v>12.69</v>
      </c>
      <c r="D9" s="2">
        <f t="shared" si="1"/>
        <v>50.76</v>
      </c>
      <c r="E9" t="s">
        <v>22</v>
      </c>
      <c r="F9" s="2">
        <v>65</v>
      </c>
      <c r="G9" s="2">
        <v>130</v>
      </c>
      <c r="H9" s="2">
        <f>'Stawki - działalność'!$B9/1100*L$3</f>
        <v>12.698181818181817</v>
      </c>
    </row>
    <row r="10" spans="1:8" ht="15">
      <c r="A10" t="s">
        <v>21</v>
      </c>
      <c r="B10">
        <v>360</v>
      </c>
      <c r="C10" s="2">
        <f t="shared" si="0"/>
        <v>19.04</v>
      </c>
      <c r="D10" s="2">
        <f t="shared" si="1"/>
        <v>76.16</v>
      </c>
      <c r="E10" t="s">
        <v>22</v>
      </c>
      <c r="F10" s="2">
        <v>105</v>
      </c>
      <c r="G10" s="2">
        <v>200</v>
      </c>
      <c r="H10" s="2">
        <f>'Stawki - działalność'!$B10/1100*L$3</f>
        <v>19.047272727272727</v>
      </c>
    </row>
    <row r="11" spans="1:8" ht="15">
      <c r="A11" t="s">
        <v>21</v>
      </c>
      <c r="B11">
        <v>660</v>
      </c>
      <c r="C11" s="2">
        <f t="shared" si="0"/>
        <v>34.92</v>
      </c>
      <c r="D11" s="2">
        <f t="shared" si="1"/>
        <v>139.68</v>
      </c>
      <c r="E11" t="s">
        <v>22</v>
      </c>
      <c r="F11" s="2"/>
      <c r="G11" s="2"/>
      <c r="H11" s="2">
        <f>'Stawki - działalność'!$B11/1100*L$3</f>
        <v>34.92</v>
      </c>
    </row>
    <row r="12" spans="1:8" ht="15">
      <c r="A12" t="s">
        <v>21</v>
      </c>
      <c r="B12">
        <v>1100</v>
      </c>
      <c r="C12" s="2">
        <f t="shared" si="0"/>
        <v>58.2</v>
      </c>
      <c r="D12" s="2">
        <f>C12*4</f>
        <v>232.8</v>
      </c>
      <c r="E12" t="s">
        <v>22</v>
      </c>
      <c r="F12" s="2">
        <v>300</v>
      </c>
      <c r="G12" s="2">
        <v>600</v>
      </c>
      <c r="H12" s="2">
        <f>'Stawki - działalność'!$B12/1100*L$3</f>
        <v>58.2</v>
      </c>
    </row>
    <row r="13" spans="1:8" ht="15">
      <c r="A13" t="s">
        <v>21</v>
      </c>
      <c r="C13" s="4">
        <v>0.05</v>
      </c>
      <c r="D13" s="4"/>
      <c r="E13" t="s">
        <v>22</v>
      </c>
      <c r="F13" s="2">
        <v>360</v>
      </c>
      <c r="G13" s="2">
        <v>750</v>
      </c>
      <c r="H13" s="2">
        <f>'Stawki - działalność'!$B13/1100*L$3</f>
        <v>0</v>
      </c>
    </row>
    <row r="14" spans="3:8" ht="15">
      <c r="C14" s="4"/>
      <c r="D14" s="4"/>
      <c r="E14" t="s">
        <v>22</v>
      </c>
      <c r="F14" s="2"/>
      <c r="G14" s="2"/>
      <c r="H14" s="2">
        <f>'Stawki - działalność'!$B14/120*L$4</f>
        <v>0</v>
      </c>
    </row>
    <row r="15" spans="3:8" ht="15">
      <c r="C15" s="4"/>
      <c r="D15" s="4"/>
      <c r="E15" t="s">
        <v>23</v>
      </c>
      <c r="H15" s="2">
        <f>'Stawki - działalność'!$B15/120*L$4</f>
        <v>0</v>
      </c>
    </row>
    <row r="16" spans="3:4" ht="15">
      <c r="C16" s="4"/>
      <c r="D16" s="4"/>
    </row>
    <row r="23" spans="27:28" ht="15">
      <c r="AA23" s="2"/>
      <c r="AB23" s="2"/>
    </row>
    <row r="24" spans="27:28" ht="15">
      <c r="AA24" s="2"/>
      <c r="AB24" s="2"/>
    </row>
    <row r="25" spans="27:28" ht="15">
      <c r="AA25" s="2"/>
      <c r="AB25" s="2"/>
    </row>
    <row r="26" spans="27:28" ht="15">
      <c r="AA26" s="2"/>
      <c r="AB26" s="2"/>
    </row>
    <row r="27" spans="27:28" ht="15">
      <c r="AA27" s="2"/>
      <c r="AB27" s="2"/>
    </row>
    <row r="28" spans="27:28" ht="15">
      <c r="AA28" s="2"/>
      <c r="AB28" s="2"/>
    </row>
    <row r="29" spans="27:28" ht="15">
      <c r="AA29" s="2"/>
      <c r="AB29" s="2"/>
    </row>
    <row r="30" ht="15">
      <c r="AB30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27.421875" style="0" customWidth="1"/>
    <col min="2" max="2" width="22.57421875" style="0" customWidth="1"/>
    <col min="3" max="3" width="31.28125" style="0" customWidth="1"/>
  </cols>
  <sheetData>
    <row r="1" spans="1:3" ht="15">
      <c r="A1" t="s">
        <v>39</v>
      </c>
      <c r="B1" t="s">
        <v>40</v>
      </c>
      <c r="C1" t="s">
        <v>41</v>
      </c>
    </row>
    <row r="2" spans="1:3" ht="15">
      <c r="A2" t="s">
        <v>43</v>
      </c>
      <c r="B2">
        <v>20</v>
      </c>
      <c r="C2">
        <f>ROUNDDOWN('Ilość odbioru odpadów'!$B2/12,2)</f>
        <v>1.66</v>
      </c>
    </row>
    <row r="3" spans="1:3" ht="15">
      <c r="A3" t="s">
        <v>33</v>
      </c>
      <c r="B3">
        <v>12</v>
      </c>
      <c r="C3">
        <f>ROUNDDOWN('Ilość odbioru odpadów'!$B3/12,2)</f>
        <v>1</v>
      </c>
    </row>
    <row r="4" spans="1:3" ht="15">
      <c r="A4" t="s">
        <v>34</v>
      </c>
      <c r="B4">
        <v>2</v>
      </c>
      <c r="C4">
        <f>ROUNDDOWN('Ilość odbioru odpadów'!$B4/12,2)</f>
        <v>0.16</v>
      </c>
    </row>
    <row r="5" spans="1:3" ht="15">
      <c r="A5" t="s">
        <v>35</v>
      </c>
      <c r="B5">
        <v>4</v>
      </c>
      <c r="C5">
        <f>ROUNDDOWN('Ilość odbioru odpadów'!$B5/12,2)</f>
        <v>0.33</v>
      </c>
    </row>
    <row r="6" spans="1:3" ht="15">
      <c r="A6" t="s">
        <v>36</v>
      </c>
      <c r="B6">
        <v>8</v>
      </c>
      <c r="C6">
        <f>ROUNDDOWN('Ilość odbioru odpadów'!$B6/12,2)</f>
        <v>0.66</v>
      </c>
    </row>
    <row r="7" spans="1:3" ht="15">
      <c r="A7" t="s">
        <v>31</v>
      </c>
      <c r="B7">
        <v>21</v>
      </c>
      <c r="C7">
        <f>ROUNDDOWN('Ilość odbioru odpadów'!$B7/12,2)</f>
        <v>1.75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Lipski Paweł</dc:creator>
  <cp:keywords/>
  <dc:description/>
  <cp:lastModifiedBy>Lipski Paweł</cp:lastModifiedBy>
  <cp:lastPrinted>2021-02-03T12:17:04Z</cp:lastPrinted>
  <dcterms:created xsi:type="dcterms:W3CDTF">2021-01-04T11:25:45Z</dcterms:created>
  <dcterms:modified xsi:type="dcterms:W3CDTF">2021-02-04T15:30:55Z</dcterms:modified>
  <cp:category/>
  <cp:version/>
  <cp:contentType/>
  <cp:contentStatus/>
</cp:coreProperties>
</file>