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20" windowHeight="11775" activeTab="0"/>
  </bookViews>
  <sheets>
    <sheet name="Arkusz obliczeniowy" sheetId="1" r:id="rId1"/>
    <sheet name="Arkusz obliczeniowy 2" sheetId="2" state="hidden" r:id="rId2"/>
    <sheet name="Rodzaj urządzeń" sheetId="3" state="hidden" r:id="rId3"/>
    <sheet name="Wielkość urządzeń i stawki" sheetId="4" r:id="rId4"/>
    <sheet name="Stawki - działalność" sheetId="5" r:id="rId5"/>
    <sheet name="Ilość odbioru odpadów" sheetId="6" state="hidden" r:id="rId6"/>
  </sheets>
  <definedNames>
    <definedName name="_xlnm.Print_Area" localSheetId="0">'Arkusz obliczeniowy'!$A$1:$J$32</definedName>
    <definedName name="_xlnm.Print_Area" localSheetId="1">'Arkusz obliczeniowy 2'!$A$3:$F$45</definedName>
  </definedNames>
  <calcPr fullCalcOnLoad="1"/>
</workbook>
</file>

<file path=xl/sharedStrings.xml><?xml version="1.0" encoding="utf-8"?>
<sst xmlns="http://schemas.openxmlformats.org/spreadsheetml/2006/main" count="173" uniqueCount="76">
  <si>
    <t>Wielkość pojemnika wyrażona w litrach</t>
  </si>
  <si>
    <t>Stawka za odpady segregowane na osobę</t>
  </si>
  <si>
    <t>Stawka za odpady niesegregowane na osobę</t>
  </si>
  <si>
    <t>jednostka</t>
  </si>
  <si>
    <t>Stawka za odpady segregowane do 31.12.2020 r.</t>
  </si>
  <si>
    <t>Stawka za odpady niesegregowane do 31.12.2020 r.</t>
  </si>
  <si>
    <t>Kolumna1</t>
  </si>
  <si>
    <t>Średni rozporządzalny dochód brutto</t>
  </si>
  <si>
    <t>przeciętny miesięczny dochód rozporządzalny na 1 osobę ogółem</t>
  </si>
  <si>
    <t>Maksymalna opłata za pojemnik 1100 l</t>
  </si>
  <si>
    <t>Stawka maksymalna przy segregacji</t>
  </si>
  <si>
    <t>Stawka za</t>
  </si>
  <si>
    <t>Jednostek</t>
  </si>
  <si>
    <t>stawka za litr</t>
  </si>
  <si>
    <t>Maksymalna opłata za worek 120l</t>
  </si>
  <si>
    <t>Worek</t>
  </si>
  <si>
    <t>zł/120l</t>
  </si>
  <si>
    <t>litrów</t>
  </si>
  <si>
    <t>Pojemnik</t>
  </si>
  <si>
    <t>zł/1100l</t>
  </si>
  <si>
    <t>pojemnik</t>
  </si>
  <si>
    <t>zł</t>
  </si>
  <si>
    <t>zł/litr</t>
  </si>
  <si>
    <t>Odpady zmieszane</t>
  </si>
  <si>
    <t>Rodzaj urządzenia do zbierania odpadów</t>
  </si>
  <si>
    <t>Stawka opłaty</t>
  </si>
  <si>
    <t>Opłata miesięczna</t>
  </si>
  <si>
    <t>Opłata razem:</t>
  </si>
  <si>
    <t>Rodzaj urządzenia dla odpadów zmieszanych</t>
  </si>
  <si>
    <t>Metale i tworzywa Sztuczne, SZKŁO, PAPIER</t>
  </si>
  <si>
    <t>BIO</t>
  </si>
  <si>
    <t>Kompostownik</t>
  </si>
  <si>
    <t>Metale i tworzywa sztuczne</t>
  </si>
  <si>
    <t>Papier</t>
  </si>
  <si>
    <t>Szkło</t>
  </si>
  <si>
    <t>Popiół</t>
  </si>
  <si>
    <t>BIO-odpady</t>
  </si>
  <si>
    <t>Pojemność pojemnika lub worka w litrach</t>
  </si>
  <si>
    <t>Rodzaj odpadu</t>
  </si>
  <si>
    <t>Ilość odbiorów w roku</t>
  </si>
  <si>
    <t>średnia ilość odbioró na miesiąc</t>
  </si>
  <si>
    <t>Ilość posiadanych pojemników</t>
  </si>
  <si>
    <t>Zmieszane</t>
  </si>
  <si>
    <t>Ilość pojemników/worków opróżnianych miesięcznie*</t>
  </si>
  <si>
    <t>Wielkość</t>
  </si>
  <si>
    <t>Stawka dla pojemnika</t>
  </si>
  <si>
    <t>Stawka dla worka</t>
  </si>
  <si>
    <t>Uwagi</t>
  </si>
  <si>
    <t>Opłata miesięczna za pojemniki razem wynosi:</t>
  </si>
  <si>
    <t>Arkusz obliczeniowy wysokości opłaty za gospodarowanie odpadami komunalnymi za pojemnik 
(dotyczy nieruchomości niezamieszkałych oraz mieszanych w części niezamieszkałej)</t>
  </si>
  <si>
    <t>Arkusz obliczeniowy wysokości opłaty za gospodarowanie odpadami komunalnymi za pojemniki 
(dotyczy nieruchomości niezamieszkałych oraz mieszanych w części niezamieszkałej)</t>
  </si>
  <si>
    <t>Adres nieruchomości:</t>
  </si>
  <si>
    <t>Ilość odbiorów odpadów 
w ciągu roku</t>
  </si>
  <si>
    <t>Nazwisko i imię/ Pełna nazwa</t>
  </si>
  <si>
    <t>Miesięczna wysokość opłaty
[zł/miesiąc]</t>
  </si>
  <si>
    <t>Średnia ilość odbiorów na miesiąc</t>
  </si>
  <si>
    <t>W deklaracji 
kolumna a 
(3 od lewej)</t>
  </si>
  <si>
    <r>
      <t>Uwagi</t>
    </r>
    <r>
      <rPr>
        <b/>
        <vertAlign val="superscript"/>
        <sz val="11"/>
        <color indexed="9"/>
        <rFont val="Calibri"/>
        <family val="2"/>
      </rPr>
      <t>2</t>
    </r>
  </si>
  <si>
    <r>
      <t>Liczba pojemników/worków deklarowanych do odbioru zgodnie z harmonogramem wywozu odpadów [szt/miesiąc]</t>
    </r>
    <r>
      <rPr>
        <b/>
        <vertAlign val="superscript"/>
        <sz val="11"/>
        <color indexed="9"/>
        <rFont val="Calibri"/>
        <family val="2"/>
      </rPr>
      <t>1</t>
    </r>
    <r>
      <rPr>
        <b/>
        <sz val="11"/>
        <color indexed="9"/>
        <rFont val="Calibri"/>
        <family val="2"/>
      </rPr>
      <t xml:space="preserve">
[6]=[3]*[5]</t>
    </r>
  </si>
  <si>
    <t>Roczna wysokość opłaty
[zł/rok]
(pomnożyć wartości kolumn 
3, 4, 5)</t>
  </si>
  <si>
    <t>Pojemność urządzenia
[litr]</t>
  </si>
  <si>
    <t>Liczba urządzeń deklarowanych do jednorazowego odbioru</t>
  </si>
  <si>
    <t>Przeznaczenie urządzenia</t>
  </si>
  <si>
    <t>W deklaracji
kolumna 
1</t>
  </si>
  <si>
    <t>W deklaracji
kolumna 
2</t>
  </si>
  <si>
    <t>W deklaracji
kolumna 
3</t>
  </si>
  <si>
    <t>W deklaracji
kolumna 
4</t>
  </si>
  <si>
    <t>W deklaracji
kolumna 
5</t>
  </si>
  <si>
    <t>Metale i Tworywa Sztuczne</t>
  </si>
  <si>
    <r>
      <t xml:space="preserve">Objaśnienia:
Roczna wysokości opłaty za pojemniki dla nieruchomości niezamieszakałych i częściowo niezamieszkałych, na których wytwarzane są odpady komunalne obliczana jest jako iloczyn liczby posiadanych pojemników deklarowanych do odbioru w szt, ilość odbiorów w ciągu roku uzależniona od rodzaju frakcji oraz oraz stawki opłaty uzależnionej od pojemności pojemnika. Miesięczna wysokość opłaty obliczana jest jako iloraz rocznej wysokości opłaty i 12 miesięcy.
</t>
    </r>
    <r>
      <rPr>
        <sz val="11"/>
        <color indexed="8"/>
        <rFont val="Calibri"/>
        <family val="2"/>
      </rPr>
      <t xml:space="preserve">W poniższym arkuszu uzupełniamy zgodnie z poniższym oznaczemniem kolumnę 1,2 i 3, </t>
    </r>
    <r>
      <rPr>
        <sz val="11"/>
        <color theme="1"/>
        <rFont val="Calibri"/>
        <family val="2"/>
      </rPr>
      <t xml:space="preserve">
</t>
    </r>
    <r>
      <rPr>
        <sz val="11"/>
        <color indexed="8"/>
        <rFont val="Calibri"/>
        <family val="2"/>
      </rPr>
      <t xml:space="preserve">a w deklaracji wpisujemy zgodnie z poniższym oznaczeniem wartość z kolumny 1,2,3, 4, 5, 6 i 7
Wszystkie nieruchomości muszą być wyposażone w urządzenia do zbierania odpadów 1. zmieszanyc, 2. Metali i tworzyw sztucznych, 3. Szkła, 4. Papieru, 5. BIO-odpadów i 
dodatkowo w zależności od zapotrzebowania w pojemnik do zbierania popiołu.
W kolumnie 1 "rodzaj urządzenia" należy wpisać: pojemnik
Dopuszczalne pojemności pojemników to 120, 240, 360, 660, 1100. 
Wielkości urządzeń do zbierania odpadów muszą być zgodne z Regulaminem utrzymania czystości i porządku na terenie Gminy Lipusz 
</t>
    </r>
    <r>
      <rPr>
        <sz val="11"/>
        <color theme="1"/>
        <rFont val="Calibri"/>
        <family val="2"/>
      </rPr>
      <t>W prawidłowo wypełnionym arkuszu nie powinno być uwag i na końcu powinna być podana wysokość opłaty miesięcznej za pojemniki razem.</t>
    </r>
  </si>
  <si>
    <t>Stawka opłaty za jednorazowy odbiór pojemnika [zł]</t>
  </si>
  <si>
    <t>W deklaracji
kolumna 
6</t>
  </si>
  <si>
    <t>W deklaracji
kolumna 
7</t>
  </si>
  <si>
    <t>W poniższej tabeli należy wypełnić kolumny 1, 2 i 3, a do deklaracji zgodnie z poniższym opisem wpisać wartości z kolumn 1, 2, 3, 5, 6 i 7
W kolumnie 8 (Uwagi) w przypadku proawidłowo wypełnienienia arkusza nie powinno być uwag.
(przed wypełnieniem należy zapoznać się z objaśnieniami znajdującymi się na końcu arkusza)</t>
  </si>
  <si>
    <t>Data i podpis</t>
  </si>
  <si>
    <t>Nie obsługujemy worków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</si>
</sst>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000"/>
    <numFmt numFmtId="166" formatCode="??/12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vertAlign val="superscript"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6"/>
      <color indexed="9"/>
      <name val="Calibri"/>
      <family val="2"/>
    </font>
    <font>
      <b/>
      <i/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6"/>
      <color theme="0"/>
      <name val="Calibri"/>
      <family val="2"/>
    </font>
    <font>
      <b/>
      <i/>
      <sz val="11"/>
      <color theme="0"/>
      <name val="Calibri"/>
      <family val="2"/>
    </font>
    <font>
      <b/>
      <sz val="14"/>
      <color theme="1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>
        <color theme="0"/>
      </left>
      <right/>
      <top style="thick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/>
      <right/>
      <top style="thick">
        <color theme="0"/>
      </top>
      <bottom/>
    </border>
    <border>
      <left/>
      <right/>
      <top style="thin">
        <color theme="0"/>
      </top>
      <bottom/>
    </border>
    <border>
      <left style="thin">
        <color theme="0"/>
      </left>
      <right/>
      <top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/>
      <bottom/>
    </border>
    <border>
      <left style="thin">
        <color theme="0"/>
      </left>
      <right/>
      <top/>
      <bottom style="thin">
        <color theme="0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>
        <color theme="0"/>
      </top>
      <bottom/>
    </border>
    <border>
      <left style="thin"/>
      <right/>
      <top style="thick">
        <color theme="0"/>
      </top>
      <bottom/>
    </border>
    <border>
      <left style="thin">
        <color theme="0"/>
      </left>
      <right/>
      <top style="thin">
        <color theme="0"/>
      </top>
      <bottom style="thick">
        <color theme="0"/>
      </bottom>
    </border>
    <border>
      <left/>
      <right style="thin">
        <color theme="0"/>
      </right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Alignment="1">
      <alignment textRotation="90"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28" fillId="34" borderId="11" xfId="0" applyFont="1" applyFill="1" applyBorder="1" applyAlignment="1">
      <alignment/>
    </xf>
    <xf numFmtId="0" fontId="34" fillId="0" borderId="0" xfId="0" applyFont="1" applyAlignment="1">
      <alignment/>
    </xf>
    <xf numFmtId="0" fontId="39" fillId="23" borderId="0" xfId="0" applyFont="1" applyFill="1" applyAlignment="1">
      <alignment/>
    </xf>
    <xf numFmtId="0" fontId="39" fillId="35" borderId="0" xfId="0" applyFont="1" applyFill="1" applyAlignment="1">
      <alignment/>
    </xf>
    <xf numFmtId="0" fontId="39" fillId="20" borderId="0" xfId="0" applyFont="1" applyFill="1" applyAlignment="1">
      <alignment/>
    </xf>
    <xf numFmtId="0" fontId="39" fillId="25" borderId="0" xfId="0" applyFont="1" applyFill="1" applyAlignment="1">
      <alignment/>
    </xf>
    <xf numFmtId="0" fontId="39" fillId="36" borderId="0" xfId="0" applyFont="1" applyFill="1" applyAlignment="1">
      <alignment/>
    </xf>
    <xf numFmtId="0" fontId="39" fillId="21" borderId="0" xfId="0" applyFont="1" applyFill="1" applyAlignment="1">
      <alignment/>
    </xf>
    <xf numFmtId="0" fontId="0" fillId="33" borderId="12" xfId="0" applyFill="1" applyBorder="1" applyAlignment="1">
      <alignment/>
    </xf>
    <xf numFmtId="0" fontId="0" fillId="37" borderId="12" xfId="0" applyFill="1" applyBorder="1" applyAlignment="1">
      <alignment/>
    </xf>
    <xf numFmtId="0" fontId="0" fillId="38" borderId="12" xfId="0" applyFill="1" applyBorder="1" applyAlignment="1">
      <alignment/>
    </xf>
    <xf numFmtId="0" fontId="0" fillId="39" borderId="12" xfId="0" applyFill="1" applyBorder="1" applyAlignment="1">
      <alignment/>
    </xf>
    <xf numFmtId="0" fontId="0" fillId="40" borderId="12" xfId="0" applyFill="1" applyBorder="1" applyAlignment="1">
      <alignment/>
    </xf>
    <xf numFmtId="0" fontId="0" fillId="41" borderId="12" xfId="0" applyFill="1" applyBorder="1" applyAlignment="1">
      <alignment/>
    </xf>
    <xf numFmtId="0" fontId="0" fillId="42" borderId="12" xfId="0" applyFill="1" applyBorder="1" applyAlignment="1">
      <alignment/>
    </xf>
    <xf numFmtId="0" fontId="0" fillId="43" borderId="12" xfId="0" applyFill="1" applyBorder="1" applyAlignment="1">
      <alignment/>
    </xf>
    <xf numFmtId="0" fontId="0" fillId="44" borderId="12" xfId="0" applyFill="1" applyBorder="1" applyAlignment="1">
      <alignment/>
    </xf>
    <xf numFmtId="0" fontId="0" fillId="45" borderId="12" xfId="0" applyFill="1" applyBorder="1" applyAlignment="1">
      <alignment/>
    </xf>
    <xf numFmtId="0" fontId="28" fillId="34" borderId="13" xfId="0" applyFont="1" applyFill="1" applyBorder="1" applyAlignment="1">
      <alignment/>
    </xf>
    <xf numFmtId="0" fontId="28" fillId="34" borderId="11" xfId="0" applyFont="1" applyFill="1" applyBorder="1" applyAlignment="1">
      <alignment horizontal="right"/>
    </xf>
    <xf numFmtId="164" fontId="34" fillId="0" borderId="0" xfId="0" applyNumberFormat="1" applyFont="1" applyAlignment="1">
      <alignment/>
    </xf>
    <xf numFmtId="164" fontId="0" fillId="44" borderId="12" xfId="0" applyNumberFormat="1" applyFill="1" applyBorder="1" applyAlignment="1">
      <alignment/>
    </xf>
    <xf numFmtId="164" fontId="0" fillId="45" borderId="12" xfId="0" applyNumberFormat="1" applyFill="1" applyBorder="1" applyAlignment="1">
      <alignment/>
    </xf>
    <xf numFmtId="164" fontId="28" fillId="34" borderId="11" xfId="0" applyNumberFormat="1" applyFont="1" applyFill="1" applyBorder="1" applyAlignment="1">
      <alignment/>
    </xf>
    <xf numFmtId="164" fontId="0" fillId="42" borderId="12" xfId="0" applyNumberFormat="1" applyFill="1" applyBorder="1" applyAlignment="1">
      <alignment/>
    </xf>
    <xf numFmtId="164" fontId="0" fillId="43" borderId="12" xfId="0" applyNumberFormat="1" applyFill="1" applyBorder="1" applyAlignment="1">
      <alignment/>
    </xf>
    <xf numFmtId="164" fontId="0" fillId="40" borderId="12" xfId="0" applyNumberFormat="1" applyFill="1" applyBorder="1" applyAlignment="1">
      <alignment/>
    </xf>
    <xf numFmtId="164" fontId="0" fillId="41" borderId="12" xfId="0" applyNumberFormat="1" applyFill="1" applyBorder="1" applyAlignment="1">
      <alignment/>
    </xf>
    <xf numFmtId="164" fontId="0" fillId="33" borderId="12" xfId="0" applyNumberFormat="1" applyFill="1" applyBorder="1" applyAlignment="1">
      <alignment/>
    </xf>
    <xf numFmtId="164" fontId="0" fillId="37" borderId="12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0" fillId="41" borderId="14" xfId="0" applyFill="1" applyBorder="1" applyAlignment="1">
      <alignment horizontal="center"/>
    </xf>
    <xf numFmtId="0" fontId="0" fillId="41" borderId="12" xfId="0" applyFill="1" applyBorder="1" applyAlignment="1">
      <alignment horizontal="center"/>
    </xf>
    <xf numFmtId="0" fontId="0" fillId="42" borderId="14" xfId="0" applyFill="1" applyBorder="1" applyAlignment="1">
      <alignment horizontal="center"/>
    </xf>
    <xf numFmtId="0" fontId="0" fillId="42" borderId="12" xfId="0" applyFill="1" applyBorder="1" applyAlignment="1">
      <alignment horizontal="center"/>
    </xf>
    <xf numFmtId="0" fontId="0" fillId="43" borderId="14" xfId="0" applyFill="1" applyBorder="1" applyAlignment="1">
      <alignment horizontal="center"/>
    </xf>
    <xf numFmtId="0" fontId="0" fillId="43" borderId="12" xfId="0" applyFill="1" applyBorder="1" applyAlignment="1">
      <alignment horizontal="center"/>
    </xf>
    <xf numFmtId="0" fontId="0" fillId="44" borderId="14" xfId="0" applyFill="1" applyBorder="1" applyAlignment="1">
      <alignment horizontal="center"/>
    </xf>
    <xf numFmtId="0" fontId="0" fillId="44" borderId="12" xfId="0" applyFill="1" applyBorder="1" applyAlignment="1">
      <alignment horizontal="center"/>
    </xf>
    <xf numFmtId="0" fontId="0" fillId="45" borderId="14" xfId="0" applyFill="1" applyBorder="1" applyAlignment="1">
      <alignment horizontal="center"/>
    </xf>
    <xf numFmtId="0" fontId="0" fillId="45" borderId="12" xfId="0" applyFill="1" applyBorder="1" applyAlignment="1">
      <alignment horizontal="center"/>
    </xf>
    <xf numFmtId="0" fontId="0" fillId="46" borderId="14" xfId="0" applyFill="1" applyBorder="1" applyAlignment="1">
      <alignment horizontal="center"/>
    </xf>
    <xf numFmtId="0" fontId="0" fillId="46" borderId="12" xfId="0" applyFill="1" applyBorder="1" applyAlignment="1">
      <alignment horizontal="center"/>
    </xf>
    <xf numFmtId="0" fontId="0" fillId="47" borderId="14" xfId="0" applyFill="1" applyBorder="1" applyAlignment="1">
      <alignment horizontal="center"/>
    </xf>
    <xf numFmtId="0" fontId="0" fillId="47" borderId="12" xfId="0" applyFill="1" applyBorder="1" applyAlignment="1">
      <alignment horizontal="center"/>
    </xf>
    <xf numFmtId="164" fontId="0" fillId="38" borderId="12" xfId="0" applyNumberFormat="1" applyFill="1" applyBorder="1" applyAlignment="1">
      <alignment horizontal="right" vertical="center"/>
    </xf>
    <xf numFmtId="164" fontId="0" fillId="39" borderId="12" xfId="0" applyNumberFormat="1" applyFill="1" applyBorder="1" applyAlignment="1">
      <alignment horizontal="right" vertical="center"/>
    </xf>
    <xf numFmtId="164" fontId="0" fillId="46" borderId="12" xfId="0" applyNumberFormat="1" applyFill="1" applyBorder="1" applyAlignment="1">
      <alignment horizontal="right"/>
    </xf>
    <xf numFmtId="164" fontId="0" fillId="47" borderId="12" xfId="0" applyNumberFormat="1" applyFill="1" applyBorder="1" applyAlignment="1">
      <alignment horizontal="right"/>
    </xf>
    <xf numFmtId="0" fontId="0" fillId="46" borderId="12" xfId="0" applyFill="1" applyBorder="1" applyAlignment="1">
      <alignment horizontal="left"/>
    </xf>
    <xf numFmtId="0" fontId="0" fillId="47" borderId="12" xfId="0" applyFill="1" applyBorder="1" applyAlignment="1">
      <alignment horizontal="left"/>
    </xf>
    <xf numFmtId="0" fontId="0" fillId="37" borderId="15" xfId="0" applyFill="1" applyBorder="1" applyAlignment="1">
      <alignment horizontal="center"/>
    </xf>
    <xf numFmtId="164" fontId="0" fillId="37" borderId="15" xfId="0" applyNumberFormat="1" applyFill="1" applyBorder="1" applyAlignment="1">
      <alignment/>
    </xf>
    <xf numFmtId="0" fontId="0" fillId="37" borderId="15" xfId="0" applyFill="1" applyBorder="1" applyAlignment="1">
      <alignment/>
    </xf>
    <xf numFmtId="0" fontId="28" fillId="48" borderId="16" xfId="0" applyFont="1" applyFill="1" applyBorder="1" applyAlignment="1">
      <alignment horizontal="center" vertical="center" wrapText="1"/>
    </xf>
    <xf numFmtId="0" fontId="0" fillId="39" borderId="0" xfId="0" applyFill="1" applyAlignment="1">
      <alignment horizontal="center"/>
    </xf>
    <xf numFmtId="0" fontId="0" fillId="39" borderId="15" xfId="0" applyFill="1" applyBorder="1" applyAlignment="1">
      <alignment horizontal="center"/>
    </xf>
    <xf numFmtId="164" fontId="0" fillId="39" borderId="15" xfId="0" applyNumberFormat="1" applyFill="1" applyBorder="1" applyAlignment="1">
      <alignment horizontal="right" vertical="center"/>
    </xf>
    <xf numFmtId="0" fontId="0" fillId="39" borderId="15" xfId="0" applyFill="1" applyBorder="1" applyAlignment="1">
      <alignment/>
    </xf>
    <xf numFmtId="0" fontId="0" fillId="43" borderId="0" xfId="0" applyFill="1" applyAlignment="1">
      <alignment horizontal="center"/>
    </xf>
    <xf numFmtId="0" fontId="0" fillId="43" borderId="15" xfId="0" applyFill="1" applyBorder="1" applyAlignment="1">
      <alignment horizontal="center"/>
    </xf>
    <xf numFmtId="164" fontId="0" fillId="43" borderId="15" xfId="0" applyNumberFormat="1" applyFill="1" applyBorder="1" applyAlignment="1">
      <alignment/>
    </xf>
    <xf numFmtId="0" fontId="0" fillId="43" borderId="15" xfId="0" applyFill="1" applyBorder="1" applyAlignment="1">
      <alignment/>
    </xf>
    <xf numFmtId="0" fontId="0" fillId="41" borderId="0" xfId="0" applyFill="1" applyAlignment="1">
      <alignment horizontal="center"/>
    </xf>
    <xf numFmtId="0" fontId="0" fillId="41" borderId="15" xfId="0" applyFill="1" applyBorder="1" applyAlignment="1">
      <alignment horizontal="center"/>
    </xf>
    <xf numFmtId="164" fontId="0" fillId="41" borderId="15" xfId="0" applyNumberFormat="1" applyFill="1" applyBorder="1" applyAlignment="1">
      <alignment/>
    </xf>
    <xf numFmtId="0" fontId="0" fillId="41" borderId="15" xfId="0" applyFill="1" applyBorder="1" applyAlignment="1">
      <alignment/>
    </xf>
    <xf numFmtId="0" fontId="0" fillId="47" borderId="0" xfId="0" applyFill="1" applyAlignment="1">
      <alignment horizontal="center"/>
    </xf>
    <xf numFmtId="0" fontId="0" fillId="47" borderId="15" xfId="0" applyFill="1" applyBorder="1" applyAlignment="1">
      <alignment horizontal="center"/>
    </xf>
    <xf numFmtId="164" fontId="0" fillId="47" borderId="15" xfId="0" applyNumberFormat="1" applyFill="1" applyBorder="1" applyAlignment="1">
      <alignment/>
    </xf>
    <xf numFmtId="0" fontId="0" fillId="47" borderId="15" xfId="0" applyFill="1" applyBorder="1" applyAlignment="1">
      <alignment horizontal="left"/>
    </xf>
    <xf numFmtId="0" fontId="0" fillId="45" borderId="0" xfId="0" applyFill="1" applyAlignment="1">
      <alignment horizontal="center"/>
    </xf>
    <xf numFmtId="0" fontId="0" fillId="45" borderId="15" xfId="0" applyFill="1" applyBorder="1" applyAlignment="1">
      <alignment horizontal="center"/>
    </xf>
    <xf numFmtId="164" fontId="0" fillId="45" borderId="15" xfId="0" applyNumberFormat="1" applyFill="1" applyBorder="1" applyAlignment="1">
      <alignment/>
    </xf>
    <xf numFmtId="0" fontId="0" fillId="45" borderId="15" xfId="0" applyFill="1" applyBorder="1" applyAlignment="1">
      <alignment/>
    </xf>
    <xf numFmtId="164" fontId="0" fillId="33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49" borderId="0" xfId="0" applyFill="1" applyAlignment="1">
      <alignment/>
    </xf>
    <xf numFmtId="0" fontId="28" fillId="48" borderId="17" xfId="0" applyFont="1" applyFill="1" applyBorder="1" applyAlignment="1">
      <alignment horizontal="center" vertical="center" wrapText="1"/>
    </xf>
    <xf numFmtId="0" fontId="28" fillId="48" borderId="18" xfId="0" applyFont="1" applyFill="1" applyBorder="1" applyAlignment="1">
      <alignment horizontal="center" vertical="center" wrapText="1"/>
    </xf>
    <xf numFmtId="0" fontId="28" fillId="48" borderId="19" xfId="0" applyFont="1" applyFill="1" applyBorder="1" applyAlignment="1">
      <alignment horizontal="center" vertical="center" wrapText="1"/>
    </xf>
    <xf numFmtId="0" fontId="28" fillId="48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40" fillId="5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40" fillId="50" borderId="23" xfId="0" applyFont="1" applyFill="1" applyBorder="1" applyAlignment="1">
      <alignment horizontal="center" vertical="center" wrapText="1"/>
    </xf>
    <xf numFmtId="0" fontId="0" fillId="39" borderId="24" xfId="0" applyFill="1" applyBorder="1" applyAlignment="1">
      <alignment horizontal="center"/>
    </xf>
    <xf numFmtId="0" fontId="0" fillId="38" borderId="25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43" borderId="24" xfId="0" applyFill="1" applyBorder="1" applyAlignment="1">
      <alignment horizontal="center"/>
    </xf>
    <xf numFmtId="0" fontId="0" fillId="42" borderId="25" xfId="0" applyFill="1" applyBorder="1" applyAlignment="1">
      <alignment horizontal="center"/>
    </xf>
    <xf numFmtId="0" fontId="0" fillId="41" borderId="24" xfId="0" applyFill="1" applyBorder="1" applyAlignment="1">
      <alignment horizontal="center"/>
    </xf>
    <xf numFmtId="0" fontId="0" fillId="40" borderId="25" xfId="0" applyFill="1" applyBorder="1" applyAlignment="1">
      <alignment horizontal="center"/>
    </xf>
    <xf numFmtId="0" fontId="0" fillId="47" borderId="24" xfId="0" applyFill="1" applyBorder="1" applyAlignment="1">
      <alignment horizontal="center"/>
    </xf>
    <xf numFmtId="0" fontId="0" fillId="46" borderId="25" xfId="0" applyFill="1" applyBorder="1" applyAlignment="1">
      <alignment horizontal="center"/>
    </xf>
    <xf numFmtId="0" fontId="0" fillId="45" borderId="24" xfId="0" applyFill="1" applyBorder="1" applyAlignment="1">
      <alignment horizontal="center"/>
    </xf>
    <xf numFmtId="0" fontId="0" fillId="44" borderId="25" xfId="0" applyFill="1" applyBorder="1" applyAlignment="1">
      <alignment horizontal="center"/>
    </xf>
    <xf numFmtId="0" fontId="28" fillId="34" borderId="26" xfId="0" applyFont="1" applyFill="1" applyBorder="1" applyAlignment="1">
      <alignment/>
    </xf>
    <xf numFmtId="166" fontId="0" fillId="37" borderId="12" xfId="0" applyNumberFormat="1" applyFill="1" applyBorder="1" applyAlignment="1">
      <alignment horizontal="center" vertical="center"/>
    </xf>
    <xf numFmtId="166" fontId="0" fillId="33" borderId="12" xfId="0" applyNumberFormat="1" applyFill="1" applyBorder="1" applyAlignment="1">
      <alignment horizontal="center" vertical="center"/>
    </xf>
    <xf numFmtId="166" fontId="0" fillId="37" borderId="27" xfId="0" applyNumberFormat="1" applyFill="1" applyBorder="1" applyAlignment="1">
      <alignment horizontal="center" vertical="center"/>
    </xf>
    <xf numFmtId="166" fontId="0" fillId="38" borderId="12" xfId="0" applyNumberFormat="1" applyFill="1" applyBorder="1" applyAlignment="1">
      <alignment horizontal="center"/>
    </xf>
    <xf numFmtId="166" fontId="0" fillId="42" borderId="12" xfId="0" applyNumberFormat="1" applyFill="1" applyBorder="1" applyAlignment="1">
      <alignment horizontal="center"/>
    </xf>
    <xf numFmtId="166" fontId="0" fillId="40" borderId="12" xfId="0" applyNumberFormat="1" applyFill="1" applyBorder="1" applyAlignment="1">
      <alignment horizontal="center"/>
    </xf>
    <xf numFmtId="166" fontId="0" fillId="46" borderId="12" xfId="0" applyNumberFormat="1" applyFill="1" applyBorder="1" applyAlignment="1">
      <alignment horizontal="center"/>
    </xf>
    <xf numFmtId="166" fontId="0" fillId="45" borderId="15" xfId="0" applyNumberFormat="1" applyFill="1" applyBorder="1" applyAlignment="1">
      <alignment horizontal="center"/>
    </xf>
    <xf numFmtId="166" fontId="0" fillId="44" borderId="12" xfId="0" applyNumberFormat="1" applyFill="1" applyBorder="1" applyAlignment="1">
      <alignment horizontal="center"/>
    </xf>
    <xf numFmtId="166" fontId="0" fillId="45" borderId="12" xfId="0" applyNumberFormat="1" applyFill="1" applyBorder="1" applyAlignment="1">
      <alignment horizontal="center"/>
    </xf>
    <xf numFmtId="166" fontId="0" fillId="39" borderId="15" xfId="0" applyNumberFormat="1" applyFill="1" applyBorder="1" applyAlignment="1">
      <alignment horizontal="center" vertical="center"/>
    </xf>
    <xf numFmtId="166" fontId="0" fillId="43" borderId="15" xfId="0" applyNumberFormat="1" applyFill="1" applyBorder="1" applyAlignment="1">
      <alignment horizontal="center"/>
    </xf>
    <xf numFmtId="166" fontId="0" fillId="41" borderId="15" xfId="0" applyNumberFormat="1" applyFill="1" applyBorder="1" applyAlignment="1">
      <alignment horizontal="center"/>
    </xf>
    <xf numFmtId="166" fontId="0" fillId="47" borderId="15" xfId="0" applyNumberFormat="1" applyFill="1" applyBorder="1" applyAlignment="1">
      <alignment horizontal="center"/>
    </xf>
    <xf numFmtId="0" fontId="34" fillId="0" borderId="0" xfId="0" applyFont="1" applyAlignment="1">
      <alignment wrapText="1"/>
    </xf>
    <xf numFmtId="0" fontId="0" fillId="51" borderId="28" xfId="0" applyFill="1" applyBorder="1" applyAlignment="1">
      <alignment/>
    </xf>
    <xf numFmtId="0" fontId="0" fillId="52" borderId="28" xfId="0" applyFill="1" applyBorder="1" applyAlignment="1">
      <alignment/>
    </xf>
    <xf numFmtId="0" fontId="0" fillId="11" borderId="0" xfId="0" applyFill="1" applyAlignment="1">
      <alignment/>
    </xf>
    <xf numFmtId="0" fontId="0" fillId="5" borderId="0" xfId="0" applyFill="1" applyAlignment="1">
      <alignment/>
    </xf>
    <xf numFmtId="0" fontId="0" fillId="13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2" borderId="0" xfId="0" applyFill="1" applyAlignment="1">
      <alignment/>
    </xf>
    <xf numFmtId="0" fontId="0" fillId="52" borderId="0" xfId="0" applyFill="1" applyAlignment="1">
      <alignment/>
    </xf>
    <xf numFmtId="0" fontId="0" fillId="53" borderId="0" xfId="0" applyFill="1" applyAlignment="1">
      <alignment/>
    </xf>
    <xf numFmtId="0" fontId="0" fillId="51" borderId="0" xfId="0" applyFill="1" applyAlignment="1">
      <alignment/>
    </xf>
    <xf numFmtId="164" fontId="28" fillId="34" borderId="11" xfId="0" applyNumberFormat="1" applyFont="1" applyFill="1" applyBorder="1" applyAlignment="1">
      <alignment horizontal="right"/>
    </xf>
    <xf numFmtId="164" fontId="0" fillId="37" borderId="15" xfId="0" applyNumberForma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7" borderId="12" xfId="0" applyFill="1" applyBorder="1" applyAlignment="1">
      <alignment horizontal="right"/>
    </xf>
    <xf numFmtId="0" fontId="0" fillId="38" borderId="12" xfId="0" applyFill="1" applyBorder="1" applyAlignment="1">
      <alignment horizontal="right"/>
    </xf>
    <xf numFmtId="164" fontId="0" fillId="43" borderId="15" xfId="0" applyNumberFormat="1" applyFill="1" applyBorder="1" applyAlignment="1">
      <alignment horizontal="right"/>
    </xf>
    <xf numFmtId="0" fontId="0" fillId="42" borderId="12" xfId="0" applyFill="1" applyBorder="1" applyAlignment="1">
      <alignment horizontal="right"/>
    </xf>
    <xf numFmtId="164" fontId="0" fillId="41" borderId="15" xfId="0" applyNumberFormat="1" applyFill="1" applyBorder="1" applyAlignment="1">
      <alignment horizontal="right"/>
    </xf>
    <xf numFmtId="0" fontId="0" fillId="40" borderId="12" xfId="0" applyFill="1" applyBorder="1" applyAlignment="1">
      <alignment horizontal="right"/>
    </xf>
    <xf numFmtId="164" fontId="0" fillId="47" borderId="15" xfId="0" applyNumberFormat="1" applyFill="1" applyBorder="1" applyAlignment="1">
      <alignment horizontal="right"/>
    </xf>
    <xf numFmtId="0" fontId="0" fillId="46" borderId="12" xfId="0" applyFill="1" applyBorder="1" applyAlignment="1">
      <alignment horizontal="right"/>
    </xf>
    <xf numFmtId="0" fontId="0" fillId="44" borderId="12" xfId="0" applyFill="1" applyBorder="1" applyAlignment="1">
      <alignment horizontal="right"/>
    </xf>
    <xf numFmtId="0" fontId="0" fillId="45" borderId="12" xfId="0" applyFill="1" applyBorder="1" applyAlignment="1">
      <alignment horizontal="right"/>
    </xf>
    <xf numFmtId="164" fontId="0" fillId="33" borderId="12" xfId="0" applyNumberFormat="1" applyFill="1" applyBorder="1" applyAlignment="1">
      <alignment horizontal="right"/>
    </xf>
    <xf numFmtId="164" fontId="0" fillId="37" borderId="12" xfId="0" applyNumberFormat="1" applyFill="1" applyBorder="1" applyAlignment="1">
      <alignment horizontal="right"/>
    </xf>
    <xf numFmtId="164" fontId="0" fillId="38" borderId="12" xfId="0" applyNumberFormat="1" applyFill="1" applyBorder="1" applyAlignment="1">
      <alignment horizontal="right"/>
    </xf>
    <xf numFmtId="164" fontId="0" fillId="42" borderId="12" xfId="0" applyNumberFormat="1" applyFill="1" applyBorder="1" applyAlignment="1">
      <alignment horizontal="right"/>
    </xf>
    <xf numFmtId="164" fontId="0" fillId="40" borderId="12" xfId="0" applyNumberFormat="1" applyFill="1" applyBorder="1" applyAlignment="1">
      <alignment horizontal="right"/>
    </xf>
    <xf numFmtId="164" fontId="0" fillId="45" borderId="15" xfId="0" applyNumberFormat="1" applyFill="1" applyBorder="1" applyAlignment="1">
      <alignment horizontal="right"/>
    </xf>
    <xf numFmtId="164" fontId="0" fillId="44" borderId="12" xfId="0" applyNumberFormat="1" applyFill="1" applyBorder="1" applyAlignment="1">
      <alignment horizontal="right"/>
    </xf>
    <xf numFmtId="164" fontId="0" fillId="45" borderId="12" xfId="0" applyNumberFormat="1" applyFill="1" applyBorder="1" applyAlignment="1">
      <alignment horizontal="right"/>
    </xf>
    <xf numFmtId="0" fontId="0" fillId="35" borderId="0" xfId="0" applyFill="1" applyAlignment="1">
      <alignment horizontal="center" vertical="center" wrapText="1"/>
    </xf>
    <xf numFmtId="0" fontId="41" fillId="0" borderId="0" xfId="0" applyFont="1" applyAlignment="1" applyProtection="1">
      <alignment horizontal="center" vertical="center" wrapText="1"/>
      <protection locked="0"/>
    </xf>
    <xf numFmtId="0" fontId="41" fillId="0" borderId="23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 wrapText="1"/>
    </xf>
    <xf numFmtId="0" fontId="34" fillId="0" borderId="29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23" xfId="0" applyBorder="1" applyAlignment="1">
      <alignment horizontal="left" wrapText="1"/>
    </xf>
    <xf numFmtId="0" fontId="41" fillId="0" borderId="30" xfId="0" applyFont="1" applyBorder="1" applyAlignment="1" applyProtection="1">
      <alignment vertical="center" wrapText="1"/>
      <protection locked="0"/>
    </xf>
    <xf numFmtId="0" fontId="41" fillId="0" borderId="31" xfId="0" applyFont="1" applyBorder="1" applyAlignment="1" applyProtection="1">
      <alignment vertical="center" wrapText="1"/>
      <protection locked="0"/>
    </xf>
    <xf numFmtId="0" fontId="41" fillId="0" borderId="32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1" name="Tabela11" displayName="Tabela11" ref="A7:K26" comment="" totalsRowShown="0">
  <autoFilter ref="A7:K26"/>
  <tableColumns count="11">
    <tableColumn id="1" name="Rodzaj odpadu"/>
    <tableColumn id="2" name="Rodzaj urządzenia do zbierania odpadów"/>
    <tableColumn id="3" name="Pojemność urządzenia_x000A_[litr]"/>
    <tableColumn id="4" name="Liczba urządzeń deklarowanych do jednorazowego odbioru"/>
    <tableColumn id="5" name="Ilość odbiorów odpadów _x000A_w ciągu roku"/>
    <tableColumn id="6" name="Średnia ilość odbiorów na miesiąc"/>
    <tableColumn id="7" name="Liczba pojemników/worków deklarowanych do odbioru zgodnie z harmonogramem wywozu odpadów [szt/miesiąc]1_x000A_[6]=[3]*[5]"/>
    <tableColumn id="8" name="Stawka opłaty za jednorazowy odbiór pojemnika [zł]"/>
    <tableColumn id="9" name="Roczna wysokość opłaty_x000A_[zł/rok]_x000A_(pomnożyć wartości kolumn _x000A_3, 4, 5)"/>
    <tableColumn id="10" name="Miesięczna wysokość opłaty_x000A_[zł/miesiąc]"/>
    <tableColumn id="11" name="Uwagi2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id="3" name="Tabela3" displayName="Tabela3" ref="A2:C5" comment="" totalsRowShown="0">
  <autoFilter ref="A2:C5"/>
  <tableColumns count="3">
    <tableColumn id="1" name="Odpady zmieszane"/>
    <tableColumn id="2" name="Metale i tworzywa Sztuczne, SZKŁO, PAPIER"/>
    <tableColumn id="3" name="BIO"/>
  </tableColumns>
  <tableStyleInfo name="TableStyleLight12" showFirstColumn="0" showLastColumn="0" showRowStripes="1" showColumnStripes="0"/>
</table>
</file>

<file path=xl/tables/table3.xml><?xml version="1.0" encoding="utf-8"?>
<table xmlns="http://schemas.openxmlformats.org/spreadsheetml/2006/main" id="10" name="Tabela10" displayName="Tabela10" ref="B1:C6" comment="" totalsRowShown="0">
  <autoFilter ref="B1:C6"/>
  <tableColumns count="2">
    <tableColumn id="1" name="Stawka dla pojemnika"/>
    <tableColumn id="2" name="Stawka dla worka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1" name="StawkiDziałalność" displayName="StawkiDziałalność" ref="B1:H15" comment="" totalsRowShown="0">
  <autoFilter ref="B1:H15"/>
  <tableColumns count="7">
    <tableColumn id="1" name="Wielkość pojemnika wyrażona w litrach"/>
    <tableColumn id="2" name="Stawka za odpady segregowane na osobę"/>
    <tableColumn id="3" name="Stawka za odpady niesegregowane na osobę"/>
    <tableColumn id="4" name="jednostka"/>
    <tableColumn id="5" name="Stawka za odpady segregowane do 31.12.2020 r."/>
    <tableColumn id="6" name="Stawka za odpady niesegregowane do 31.12.2020 r."/>
    <tableColumn id="7" name="Kolumna1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id="9" name="Tabela9" displayName="Tabela9" ref="A1:C7" comment="" totalsRowShown="0">
  <autoFilter ref="A1:C7"/>
  <tableColumns count="3">
    <tableColumn id="2" name="Rodzaj odpadu"/>
    <tableColumn id="3" name="Ilość odbiorów w roku"/>
    <tableColumn id="4" name="średnia ilość odbioró na miesiąc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tabSelected="1" zoomScalePageLayoutView="0" workbookViewId="0" topLeftCell="A5">
      <selection activeCell="I8" sqref="I8"/>
    </sheetView>
  </sheetViews>
  <sheetFormatPr defaultColWidth="9.140625" defaultRowHeight="15"/>
  <cols>
    <col min="1" max="1" width="25.7109375" style="0" customWidth="1"/>
    <col min="2" max="3" width="11.57421875" style="0" customWidth="1"/>
    <col min="4" max="4" width="16.7109375" style="0" customWidth="1"/>
    <col min="5" max="5" width="12.421875" style="103" customWidth="1"/>
    <col min="6" max="6" width="14.00390625" style="0" hidden="1" customWidth="1"/>
    <col min="7" max="7" width="39.8515625" style="0" hidden="1" customWidth="1"/>
    <col min="8" max="8" width="14.28125" style="0" customWidth="1"/>
    <col min="9" max="9" width="21.421875" style="0" customWidth="1"/>
    <col min="10" max="10" width="16.7109375" style="0" customWidth="1"/>
    <col min="11" max="11" width="52.7109375" style="0" customWidth="1"/>
    <col min="14" max="14" width="9.8515625" style="0" bestFit="1" customWidth="1"/>
  </cols>
  <sheetData>
    <row r="1" spans="2:11" ht="39.75" customHeight="1">
      <c r="B1" s="169" t="s">
        <v>50</v>
      </c>
      <c r="C1" s="169"/>
      <c r="D1" s="169"/>
      <c r="E1" s="169"/>
      <c r="F1" s="169"/>
      <c r="G1" s="169"/>
      <c r="H1" s="169"/>
      <c r="I1" s="169"/>
      <c r="J1" s="169"/>
      <c r="K1" s="8"/>
    </row>
    <row r="2" spans="2:11" ht="3.75" customHeight="1">
      <c r="B2" s="96"/>
      <c r="C2" s="8"/>
      <c r="D2" s="8"/>
      <c r="E2" s="8"/>
      <c r="F2" s="8"/>
      <c r="G2" s="8"/>
      <c r="H2" s="8"/>
      <c r="I2" s="8"/>
      <c r="J2" s="8"/>
      <c r="K2" s="8"/>
    </row>
    <row r="3" spans="2:13" ht="62.25" customHeight="1">
      <c r="B3" s="170" t="s">
        <v>73</v>
      </c>
      <c r="C3" s="170"/>
      <c r="D3" s="170"/>
      <c r="E3" s="170"/>
      <c r="F3" s="170"/>
      <c r="G3" s="170"/>
      <c r="H3" s="170"/>
      <c r="I3" s="170"/>
      <c r="J3" s="170"/>
      <c r="K3" s="133"/>
      <c r="L3" s="133"/>
      <c r="M3" s="133"/>
    </row>
    <row r="4" spans="2:11" ht="18" customHeight="1">
      <c r="B4" s="105">
        <v>1</v>
      </c>
      <c r="C4" s="105">
        <v>2</v>
      </c>
      <c r="D4" s="105">
        <v>3</v>
      </c>
      <c r="E4" s="105">
        <v>4</v>
      </c>
      <c r="F4" s="105">
        <v>5</v>
      </c>
      <c r="G4" s="105">
        <v>6</v>
      </c>
      <c r="H4" s="105">
        <v>5</v>
      </c>
      <c r="I4" s="105">
        <v>6</v>
      </c>
      <c r="J4" s="105">
        <v>7</v>
      </c>
      <c r="K4" s="97">
        <v>8</v>
      </c>
    </row>
    <row r="5" spans="1:11" s="98" customFormat="1" ht="50.25" customHeight="1">
      <c r="A5" s="104" t="s">
        <v>62</v>
      </c>
      <c r="B5" s="104" t="s">
        <v>63</v>
      </c>
      <c r="C5" s="104" t="s">
        <v>64</v>
      </c>
      <c r="D5" s="104" t="s">
        <v>65</v>
      </c>
      <c r="E5" s="104" t="s">
        <v>66</v>
      </c>
      <c r="F5" s="106"/>
      <c r="G5" s="106" t="s">
        <v>56</v>
      </c>
      <c r="H5" s="104" t="s">
        <v>67</v>
      </c>
      <c r="I5" s="104" t="s">
        <v>71</v>
      </c>
      <c r="J5" s="104" t="s">
        <v>72</v>
      </c>
      <c r="K5" s="106"/>
    </row>
    <row r="6" ht="4.5" customHeight="1"/>
    <row r="7" spans="1:11" ht="82.5" customHeight="1">
      <c r="A7" s="166" t="s">
        <v>38</v>
      </c>
      <c r="B7" s="73" t="s">
        <v>24</v>
      </c>
      <c r="C7" s="99" t="s">
        <v>60</v>
      </c>
      <c r="D7" s="101" t="s">
        <v>61</v>
      </c>
      <c r="E7" s="102" t="s">
        <v>52</v>
      </c>
      <c r="F7" s="101" t="s">
        <v>55</v>
      </c>
      <c r="G7" s="100" t="s">
        <v>58</v>
      </c>
      <c r="H7" s="73" t="s">
        <v>70</v>
      </c>
      <c r="I7" s="73" t="s">
        <v>59</v>
      </c>
      <c r="J7" s="73" t="s">
        <v>54</v>
      </c>
      <c r="K7" s="73" t="s">
        <v>57</v>
      </c>
    </row>
    <row r="8" spans="1:11" ht="15">
      <c r="A8" s="134" t="s">
        <v>42</v>
      </c>
      <c r="B8" s="70" t="s">
        <v>18</v>
      </c>
      <c r="C8" s="70">
        <v>120</v>
      </c>
      <c r="D8" s="43">
        <v>1</v>
      </c>
      <c r="E8" s="43">
        <f>IF(OR(B8="",C8="",D8=""),"",'Ilość odbioru odpadów'!$B$2)</f>
        <v>20</v>
      </c>
      <c r="F8" s="119">
        <f aca="true" t="shared" si="0" ref="F8:F25">IF(E8="","",E8/12)</f>
        <v>1.6666666666666667</v>
      </c>
      <c r="G8" s="119">
        <f aca="true" t="shared" si="1" ref="G8:G25">IF(OR(B8="",C8="",D8=""),"",D8*F8)</f>
        <v>1.6666666666666667</v>
      </c>
      <c r="H8" s="146">
        <f>IF(OR(B8="",C8="",D8=""),"",IF('Arkusz obliczeniowy'!$C8&gt;1500,('Arkusz obliczeniowy'!$C8-1500)*'Wielkość urządzeń i stawki'!#REF!+'Wielkość urządzeń i stawki'!#REF!,IF('Arkusz obliczeniowy'!$B8="pojemnik",VLOOKUP('Arkusz obliczeniowy'!$C8,'Wielkość urządzeń i stawki'!$A$2:$C$6,2,FALSE),IF('Arkusz obliczeniowy'!$B8="worek",VLOOKUP('Arkusz obliczeniowy'!$C8,'Wielkość urządzeń i stawki'!$A$2:$C$6,3,FALSE),0))))</f>
        <v>25</v>
      </c>
      <c r="I8" s="146">
        <f aca="true" t="shared" si="2" ref="I8:I25">IF(H8="","",D8*E8*H8)</f>
        <v>500</v>
      </c>
      <c r="J8" s="71">
        <f>I8/12</f>
        <v>41.666666666666664</v>
      </c>
      <c r="K8" s="72">
        <f>IF(D8&gt;0,"","brak zadeklarowanego urządzenia do zbierania odpadów")</f>
      </c>
    </row>
    <row r="9" spans="1:11" ht="15" hidden="1">
      <c r="A9" s="135" t="s">
        <v>42</v>
      </c>
      <c r="B9" s="42"/>
      <c r="C9" s="42"/>
      <c r="D9" s="120"/>
      <c r="E9" s="42">
        <f>IF(OR(B9="",C9="",D9=""),"",'Ilość odbioru odpadów'!$B$2)</f>
      </c>
      <c r="F9" s="120">
        <f t="shared" si="0"/>
      </c>
      <c r="G9" s="120">
        <f t="shared" si="1"/>
      </c>
      <c r="H9" s="147">
        <f>IF(OR(B9="",C9="",D9=""),"",IF('Arkusz obliczeniowy'!$C9&gt;1500,('Arkusz obliczeniowy'!$C9-1500)*'Wielkość urządzeń i stawki'!#REF!+'Wielkość urządzeń i stawki'!#REF!,IF('Arkusz obliczeniowy'!$B9="pojemnik",VLOOKUP('Arkusz obliczeniowy'!$C9,'Wielkość urządzeń i stawki'!$A$2:$C$6,2,FALSE),IF('Arkusz obliczeniowy'!$B9="worek",VLOOKUP('Arkusz obliczeniowy'!$C9,'Wielkość urządzeń i stawki'!$A$2:$C$6,3,FALSE),0))))</f>
      </c>
      <c r="I9" s="158">
        <f t="shared" si="2"/>
      </c>
      <c r="J9" s="40">
        <f aca="true" t="shared" si="3" ref="J9:J25">IF(H9="","",ROUND(G9*H9,2))</f>
      </c>
      <c r="K9" s="20" t="str">
        <f aca="true" t="shared" si="4" ref="K9:K25">IF(D9&gt;0,"","brak zadeklarowanego urządzenia do zbierania odpadów")</f>
        <v>brak zadeklarowanego urządzenia do zbierania odpadów</v>
      </c>
    </row>
    <row r="10" spans="1:11" ht="15.75" hidden="1" thickBot="1">
      <c r="A10" s="134" t="s">
        <v>42</v>
      </c>
      <c r="B10" s="43"/>
      <c r="C10" s="43"/>
      <c r="D10" s="43"/>
      <c r="E10" s="43">
        <f>IF(OR(B10="",C10="",D10=""),"",'Ilość odbioru odpadów'!$B$2)</f>
      </c>
      <c r="F10" s="121">
        <f t="shared" si="0"/>
      </c>
      <c r="G10" s="121">
        <f t="shared" si="1"/>
      </c>
      <c r="H10" s="148">
        <f>IF(OR(B10="",C10="",D10=""),"",IF('Arkusz obliczeniowy'!$C10&gt;1500,('Arkusz obliczeniowy'!$C10-1500)*'Wielkość urządzeń i stawki'!#REF!+'Wielkość urządzeń i stawki'!#REF!,IF('Arkusz obliczeniowy'!$B10="pojemnik",VLOOKUP('Arkusz obliczeniowy'!$C10,'Wielkość urządzeń i stawki'!$A$2:$C$6,2,FALSE),IF('Arkusz obliczeniowy'!$B10="worek",VLOOKUP('Arkusz obliczeniowy'!$C10,'Wielkość urządzeń i stawki'!$A$2:$C$6,3,FALSE),0))))</f>
      </c>
      <c r="I10" s="159">
        <f t="shared" si="2"/>
      </c>
      <c r="J10" s="41">
        <f t="shared" si="3"/>
      </c>
      <c r="K10" s="21" t="str">
        <f t="shared" si="4"/>
        <v>brak zadeklarowanego urządzenia do zbierania odpadów</v>
      </c>
    </row>
    <row r="11" spans="1:11" ht="15">
      <c r="A11" s="136" t="s">
        <v>68</v>
      </c>
      <c r="B11" s="74" t="s">
        <v>18</v>
      </c>
      <c r="C11" s="75">
        <v>120</v>
      </c>
      <c r="D11" s="74">
        <v>1</v>
      </c>
      <c r="E11" s="107">
        <f>IF(OR(B11="",C11="",D11=""),"",'Ilość odbioru odpadów'!$B$3)</f>
        <v>12</v>
      </c>
      <c r="F11" s="129">
        <f t="shared" si="0"/>
        <v>1</v>
      </c>
      <c r="G11" s="129">
        <f t="shared" si="1"/>
        <v>1</v>
      </c>
      <c r="H11" s="76">
        <f>IF(OR(B11="",C11="",D11=""),"",IF('Arkusz obliczeniowy'!$C11&gt;1500,('Arkusz obliczeniowy'!$C11-1500)*'Wielkość urządzeń i stawki'!#REF!+'Wielkość urządzeń i stawki'!#REF!,IF('Arkusz obliczeniowy'!$B11="pojemnik",VLOOKUP('Arkusz obliczeniowy'!$C11,'Wielkość urządzeń i stawki'!$A$2:$C$6,2,FALSE),IF('Arkusz obliczeniowy'!$B11="worek",VLOOKUP('Arkusz obliczeniowy'!$C11,'Wielkość urządzeń i stawki'!$A$2:$C$6,3,FALSE),0))))</f>
        <v>25</v>
      </c>
      <c r="I11" s="76">
        <f t="shared" si="2"/>
        <v>300</v>
      </c>
      <c r="J11" s="76">
        <f t="shared" si="3"/>
        <v>25</v>
      </c>
      <c r="K11" s="77">
        <f t="shared" si="4"/>
      </c>
    </row>
    <row r="12" spans="1:11" ht="15" hidden="1">
      <c r="A12" s="137" t="s">
        <v>68</v>
      </c>
      <c r="B12" s="44"/>
      <c r="C12" s="45"/>
      <c r="D12" s="44"/>
      <c r="E12" s="108">
        <f>IF(OR(B12="",C12="",D12=""),"",'Ilość odbioru odpadów'!$B$3)</f>
      </c>
      <c r="F12" s="122">
        <f t="shared" si="0"/>
      </c>
      <c r="G12" s="122">
        <f t="shared" si="1"/>
      </c>
      <c r="H12" s="149">
        <f>IF(OR(B12="",C12="",D12=""),"",IF('Arkusz obliczeniowy'!$C12&gt;1500,('Arkusz obliczeniowy'!$C12-1500)*'Wielkość urządzeń i stawki'!#REF!+'Wielkość urządzeń i stawki'!#REF!,IF('Arkusz obliczeniowy'!$B12="pojemnik",VLOOKUP('Arkusz obliczeniowy'!$C12,'Wielkość urządzeń i stawki'!$A$2:$C$6,2,FALSE),IF('Arkusz obliczeniowy'!$B12="worek",VLOOKUP('Arkusz obliczeniowy'!$C12,'Wielkość urządzeń i stawki'!$A$2:$C$6,3,FALSE),0))))</f>
      </c>
      <c r="I12" s="160">
        <f t="shared" si="2"/>
      </c>
      <c r="J12" s="64">
        <f t="shared" si="3"/>
      </c>
      <c r="K12" s="22" t="str">
        <f t="shared" si="4"/>
        <v>brak zadeklarowanego urządzenia do zbierania odpadów</v>
      </c>
    </row>
    <row r="13" spans="1:11" ht="15" hidden="1">
      <c r="A13" s="136" t="s">
        <v>68</v>
      </c>
      <c r="B13" s="46"/>
      <c r="C13" s="47"/>
      <c r="D13" s="46"/>
      <c r="E13" s="107">
        <f>IF(OR(B13="",C13="",D13=""),"",'Ilość odbioru odpadów'!$B$3)</f>
      </c>
      <c r="F13" s="129">
        <f t="shared" si="0"/>
      </c>
      <c r="G13" s="129">
        <f t="shared" si="1"/>
      </c>
      <c r="H13" s="76">
        <f>IF(OR(B13="",C13="",D13=""),"",IF('Arkusz obliczeniowy'!$C13&gt;1500,('Arkusz obliczeniowy'!$C13-1500)*'Wielkość urządzeń i stawki'!#REF!+'Wielkość urządzeń i stawki'!#REF!,IF('Arkusz obliczeniowy'!$B13="pojemnik",VLOOKUP('Arkusz obliczeniowy'!$C13,'Wielkość urządzeń i stawki'!$A$2:$C$6,2,FALSE),IF('Arkusz obliczeniowy'!$B13="worek",VLOOKUP('Arkusz obliczeniowy'!$C13,'Wielkość urządzeń i stawki'!$A$2:$C$6,3,FALSE),0))))</f>
      </c>
      <c r="I13" s="76">
        <f t="shared" si="2"/>
      </c>
      <c r="J13" s="65">
        <f t="shared" si="3"/>
      </c>
      <c r="K13" s="23" t="str">
        <f t="shared" si="4"/>
        <v>brak zadeklarowanego urządzenia do zbierania odpadów</v>
      </c>
    </row>
    <row r="14" spans="1:11" ht="15">
      <c r="A14" s="138" t="s">
        <v>34</v>
      </c>
      <c r="B14" s="78" t="s">
        <v>18</v>
      </c>
      <c r="C14" s="79">
        <v>120</v>
      </c>
      <c r="D14" s="78">
        <v>1</v>
      </c>
      <c r="E14" s="110">
        <f>IF(OR(B14="",C14="",D14=""),"",'Ilość odbioru odpadów'!$B$5)</f>
        <v>4</v>
      </c>
      <c r="F14" s="130">
        <f t="shared" si="0"/>
        <v>0.3333333333333333</v>
      </c>
      <c r="G14" s="130">
        <f t="shared" si="1"/>
        <v>0.3333333333333333</v>
      </c>
      <c r="H14" s="150">
        <f>IF(OR(B14="",C14="",D14=""),"",IF('Arkusz obliczeniowy'!$C14&gt;1500,('Arkusz obliczeniowy'!$C14-1500)*'Wielkość urządzeń i stawki'!#REF!+'Wielkość urządzeń i stawki'!#REF!,IF('Arkusz obliczeniowy'!$B14="pojemnik",VLOOKUP('Arkusz obliczeniowy'!$C14,'Wielkość urządzeń i stawki'!$A$2:$C$6,2,FALSE),IF('Arkusz obliczeniowy'!$B14="worek",VLOOKUP('Arkusz obliczeniowy'!$C14,'Wielkość urządzeń i stawki'!$A$2:$C$6,3,FALSE),0))))</f>
        <v>25</v>
      </c>
      <c r="I14" s="150">
        <f t="shared" si="2"/>
        <v>100</v>
      </c>
      <c r="J14" s="80">
        <f t="shared" si="3"/>
        <v>8.33</v>
      </c>
      <c r="K14" s="81">
        <f t="shared" si="4"/>
      </c>
    </row>
    <row r="15" spans="1:11" ht="15" hidden="1">
      <c r="A15" s="139" t="s">
        <v>34</v>
      </c>
      <c r="B15" s="52"/>
      <c r="C15" s="53"/>
      <c r="D15" s="52"/>
      <c r="E15" s="111">
        <f>IF(OR(B15="",C15="",D15=""),"",'Ilość odbioru odpadów'!$B$5)</f>
      </c>
      <c r="F15" s="123">
        <f t="shared" si="0"/>
      </c>
      <c r="G15" s="123">
        <f t="shared" si="1"/>
      </c>
      <c r="H15" s="151">
        <f>IF(OR(B15="",C15="",D15=""),"",IF('Arkusz obliczeniowy'!$C15&gt;1500,('Arkusz obliczeniowy'!$C15-1500)*'Wielkość urządzeń i stawki'!#REF!+'Wielkość urządzeń i stawki'!#REF!,IF('Arkusz obliczeniowy'!$B15="pojemnik",VLOOKUP('Arkusz obliczeniowy'!$C15,'Wielkość urządzeń i stawki'!$A$2:$C$6,2,FALSE),IF('Arkusz obliczeniowy'!$B15="worek",VLOOKUP('Arkusz obliczeniowy'!$C15,'Wielkość urządzeń i stawki'!$A$2:$C$6,3,FALSE),0))))</f>
      </c>
      <c r="I15" s="161">
        <f t="shared" si="2"/>
      </c>
      <c r="J15" s="36">
        <f t="shared" si="3"/>
      </c>
      <c r="K15" s="26" t="str">
        <f t="shared" si="4"/>
        <v>brak zadeklarowanego urządzenia do zbierania odpadów</v>
      </c>
    </row>
    <row r="16" spans="1:11" ht="15" hidden="1">
      <c r="A16" s="138" t="s">
        <v>34</v>
      </c>
      <c r="B16" s="54"/>
      <c r="C16" s="55"/>
      <c r="D16" s="54"/>
      <c r="E16" s="110">
        <f>IF(OR(B16="",C16="",D16=""),"",'Ilość odbioru odpadów'!$B$5)</f>
      </c>
      <c r="F16" s="130">
        <f t="shared" si="0"/>
      </c>
      <c r="G16" s="130">
        <f t="shared" si="1"/>
      </c>
      <c r="H16" s="150">
        <f>IF(OR(B16="",C16="",D16=""),"",IF('Arkusz obliczeniowy'!$C16&gt;1500,('Arkusz obliczeniowy'!$C16-1500)*'Wielkość urządzeń i stawki'!#REF!+'Wielkość urządzeń i stawki'!#REF!,IF('Arkusz obliczeniowy'!$B16="pojemnik",VLOOKUP('Arkusz obliczeniowy'!$C16,'Wielkość urządzeń i stawki'!$A$2:$C$6,2,FALSE),IF('Arkusz obliczeniowy'!$B16="worek",VLOOKUP('Arkusz obliczeniowy'!$C16,'Wielkość urządzeń i stawki'!$A$2:$C$6,3,FALSE),0))))</f>
      </c>
      <c r="I16" s="150">
        <f t="shared" si="2"/>
      </c>
      <c r="J16" s="37">
        <f t="shared" si="3"/>
      </c>
      <c r="K16" s="27" t="str">
        <f t="shared" si="4"/>
        <v>brak zadeklarowanego urządzenia do zbierania odpadów</v>
      </c>
    </row>
    <row r="17" spans="1:11" ht="15">
      <c r="A17" s="140" t="s">
        <v>33</v>
      </c>
      <c r="B17" s="82" t="s">
        <v>18</v>
      </c>
      <c r="C17" s="83">
        <v>120</v>
      </c>
      <c r="D17" s="82">
        <v>1</v>
      </c>
      <c r="E17" s="112">
        <f>IF(OR(B17="",C17="",D17=""),"",'Ilość odbioru odpadów'!$B$4)</f>
        <v>2</v>
      </c>
      <c r="F17" s="131">
        <f t="shared" si="0"/>
        <v>0.16666666666666666</v>
      </c>
      <c r="G17" s="131">
        <f t="shared" si="1"/>
        <v>0.16666666666666666</v>
      </c>
      <c r="H17" s="152">
        <f>IF(OR(B17="",C17="",D17=""),"",IF('Arkusz obliczeniowy'!$C17&gt;1500,('Arkusz obliczeniowy'!$C17-1500)*'Wielkość urządzeń i stawki'!#REF!+'Wielkość urządzeń i stawki'!#REF!,IF('Arkusz obliczeniowy'!$B17="pojemnik",VLOOKUP('Arkusz obliczeniowy'!$C17,'Wielkość urządzeń i stawki'!$A$2:$C$6,2,FALSE),IF('Arkusz obliczeniowy'!$B17="worek",VLOOKUP('Arkusz obliczeniowy'!$C17,'Wielkość urządzeń i stawki'!$A$2:$C$6,3,FALSE),0))))</f>
        <v>25</v>
      </c>
      <c r="I17" s="152">
        <f t="shared" si="2"/>
        <v>50</v>
      </c>
      <c r="J17" s="84">
        <f t="shared" si="3"/>
        <v>4.17</v>
      </c>
      <c r="K17" s="85">
        <f t="shared" si="4"/>
      </c>
    </row>
    <row r="18" spans="1:11" ht="15" hidden="1">
      <c r="A18" s="141" t="s">
        <v>33</v>
      </c>
      <c r="B18" s="48"/>
      <c r="C18" s="49"/>
      <c r="D18" s="48"/>
      <c r="E18" s="113">
        <f>IF(OR(B18="",C18="",D18=""),"",'Ilość odbioru odpadów'!$B$4)</f>
      </c>
      <c r="F18" s="124">
        <f t="shared" si="0"/>
      </c>
      <c r="G18" s="124">
        <f t="shared" si="1"/>
      </c>
      <c r="H18" s="153">
        <f>IF(OR(B18="",C18="",D18=""),"",IF('Arkusz obliczeniowy'!$C18&gt;1500,('Arkusz obliczeniowy'!$C18-1500)*'Wielkość urządzeń i stawki'!#REF!+'Wielkość urządzeń i stawki'!#REF!,IF('Arkusz obliczeniowy'!$B18="pojemnik",VLOOKUP('Arkusz obliczeniowy'!$C18,'Wielkość urządzeń i stawki'!$A$2:$C$6,2,FALSE),IF('Arkusz obliczeniowy'!$B18="worek",VLOOKUP('Arkusz obliczeniowy'!$C18,'Wielkość urządzeń i stawki'!$A$2:$C$6,3,FALSE),0))))</f>
      </c>
      <c r="I18" s="162">
        <f t="shared" si="2"/>
      </c>
      <c r="J18" s="38">
        <f t="shared" si="3"/>
      </c>
      <c r="K18" s="24" t="str">
        <f t="shared" si="4"/>
        <v>brak zadeklarowanego urządzenia do zbierania odpadów</v>
      </c>
    </row>
    <row r="19" spans="1:11" ht="15" hidden="1">
      <c r="A19" s="140" t="s">
        <v>33</v>
      </c>
      <c r="B19" s="50"/>
      <c r="C19" s="51"/>
      <c r="D19" s="50"/>
      <c r="E19" s="112">
        <f>IF(OR(B19="",C19="",D19=""),"",'Ilość odbioru odpadów'!$B$4)</f>
      </c>
      <c r="F19" s="131">
        <f t="shared" si="0"/>
      </c>
      <c r="G19" s="131">
        <f t="shared" si="1"/>
      </c>
      <c r="H19" s="152">
        <f>IF(OR(B19="",C19="",D19=""),"",IF('Arkusz obliczeniowy'!$C19&gt;1500,('Arkusz obliczeniowy'!$C19-1500)*'Wielkość urządzeń i stawki'!#REF!+'Wielkość urządzeń i stawki'!#REF!,IF('Arkusz obliczeniowy'!$B19="pojemnik",VLOOKUP('Arkusz obliczeniowy'!$C19,'Wielkość urządzeń i stawki'!$A$2:$C$6,2,FALSE),IF('Arkusz obliczeniowy'!$B19="worek",VLOOKUP('Arkusz obliczeniowy'!$C19,'Wielkość urządzeń i stawki'!$A$2:$C$6,3,FALSE),0))))</f>
      </c>
      <c r="I19" s="152">
        <f t="shared" si="2"/>
      </c>
      <c r="J19" s="39">
        <f t="shared" si="3"/>
      </c>
      <c r="K19" s="25" t="str">
        <f t="shared" si="4"/>
        <v>brak zadeklarowanego urządzenia do zbierania odpadów</v>
      </c>
    </row>
    <row r="20" spans="1:11" ht="15">
      <c r="A20" t="s">
        <v>30</v>
      </c>
      <c r="B20" s="86" t="s">
        <v>18</v>
      </c>
      <c r="C20" s="87">
        <v>120</v>
      </c>
      <c r="D20" s="86">
        <v>1</v>
      </c>
      <c r="E20" s="114">
        <f>IF(B20="Kompostownik","",IF(OR(B20="",C20="",D20=""),"",'Ilość odbioru odpadów'!$B$7))</f>
        <v>21</v>
      </c>
      <c r="F20" s="132">
        <f t="shared" si="0"/>
        <v>1.75</v>
      </c>
      <c r="G20" s="132">
        <f t="shared" si="1"/>
        <v>1.75</v>
      </c>
      <c r="H20" s="154">
        <f>IF(B20="kompostownik","",IF(OR(B20="",C20="",D20=""),"",IF('Arkusz obliczeniowy'!$C20&gt;1500,('Arkusz obliczeniowy'!$C20-1500)*'Wielkość urządzeń i stawki'!#REF!+'Wielkość urządzeń i stawki'!#REF!,IF('Arkusz obliczeniowy'!$B20="pojemnik",VLOOKUP('Arkusz obliczeniowy'!$C20,'Wielkość urządzeń i stawki'!$A$2:$C$6,2,FALSE),IF('Arkusz obliczeniowy'!$B20="worek",VLOOKUP('Arkusz obliczeniowy'!$C20,'Wielkość urządzeń i stawki'!$A$2:$C$6,3,FALSE),0)))))</f>
        <v>25</v>
      </c>
      <c r="I20" s="154">
        <f t="shared" si="2"/>
        <v>525</v>
      </c>
      <c r="J20" s="88">
        <f t="shared" si="3"/>
        <v>43.75</v>
      </c>
      <c r="K20" s="89">
        <f t="shared" si="4"/>
      </c>
    </row>
    <row r="21" spans="1:11" ht="15" hidden="1">
      <c r="A21" t="s">
        <v>30</v>
      </c>
      <c r="B21" s="60"/>
      <c r="C21" s="61"/>
      <c r="D21" s="60"/>
      <c r="E21" s="115">
        <f>IF(B21="Kompostownik","",IF(OR(B21="",C21="",D21=""),"",'Ilość odbioru odpadów'!$B$7))</f>
      </c>
      <c r="F21" s="125">
        <f t="shared" si="0"/>
      </c>
      <c r="G21" s="125">
        <f t="shared" si="1"/>
      </c>
      <c r="H21" s="155">
        <f>IF(B21="kompostownik","",IF(OR(B21="",C21="",D21=""),"",IF('Arkusz obliczeniowy'!$C21&gt;1500,('Arkusz obliczeniowy'!$C21-1500)*'Wielkość urządzeń i stawki'!#REF!+'Wielkość urządzeń i stawki'!#REF!,IF('Arkusz obliczeniowy'!$B21="pojemnik",VLOOKUP('Arkusz obliczeniowy'!$C21,'Wielkość urządzeń i stawki'!$A$2:$C$6,2,FALSE),IF('Arkusz obliczeniowy'!$B21="worek",VLOOKUP('Arkusz obliczeniowy'!$C21,'Wielkość urządzeń i stawki'!$A$2:$C$6,3,FALSE),0)))))</f>
      </c>
      <c r="I21" s="66">
        <f t="shared" si="2"/>
      </c>
      <c r="J21" s="66">
        <f t="shared" si="3"/>
      </c>
      <c r="K21" s="68" t="str">
        <f t="shared" si="4"/>
        <v>brak zadeklarowanego urządzenia do zbierania odpadów</v>
      </c>
    </row>
    <row r="22" spans="1:11" ht="15" hidden="1">
      <c r="A22" t="s">
        <v>30</v>
      </c>
      <c r="B22" s="62"/>
      <c r="C22" s="63"/>
      <c r="D22" s="62"/>
      <c r="E22" s="114">
        <f>IF(B22="Kompostownik","",IF(OR(B22="",C22="",D22=""),"",'Ilość odbioru odpadów'!$B$7))</f>
      </c>
      <c r="F22" s="132">
        <f t="shared" si="0"/>
      </c>
      <c r="G22" s="132">
        <f t="shared" si="1"/>
      </c>
      <c r="H22" s="154">
        <f>IF(B22="kompostownik","",IF(OR(B22="",C22="",D22=""),"",IF('Arkusz obliczeniowy'!$C22&gt;1500,('Arkusz obliczeniowy'!$C22-1500)*'Wielkość urządzeń i stawki'!#REF!+'Wielkość urządzeń i stawki'!#REF!,IF('Arkusz obliczeniowy'!$B22="pojemnik",VLOOKUP('Arkusz obliczeniowy'!$C22,'Wielkość urządzeń i stawki'!$A$2:$C$6,2,FALSE),IF('Arkusz obliczeniowy'!$B22="worek",VLOOKUP('Arkusz obliczeniowy'!$C22,'Wielkość urządzeń i stawki'!$A$2:$C$6,3,FALSE),0)))))</f>
      </c>
      <c r="I22" s="154">
        <f t="shared" si="2"/>
      </c>
      <c r="J22" s="67">
        <f t="shared" si="3"/>
      </c>
      <c r="K22" s="69" t="str">
        <f t="shared" si="4"/>
        <v>brak zadeklarowanego urządzenia do zbierania odpadów</v>
      </c>
    </row>
    <row r="23" spans="1:11" ht="15.75" thickBot="1">
      <c r="A23" s="142" t="s">
        <v>35</v>
      </c>
      <c r="B23" s="90"/>
      <c r="C23" s="91"/>
      <c r="D23" s="90"/>
      <c r="E23" s="116">
        <f>IF(OR(B23="",C23="",D23=""),"",'Ilość odbioru odpadów'!$B$6)</f>
      </c>
      <c r="F23" s="126">
        <f t="shared" si="0"/>
      </c>
      <c r="G23" s="126">
        <f t="shared" si="1"/>
      </c>
      <c r="H23" s="163">
        <f>IF(G23="","",IF('Arkusz obliczeniowy'!$C23&gt;1500,('Arkusz obliczeniowy'!$C23-1500)*'Wielkość urządzeń i stawki'!#REF!+'Wielkość urządzeń i stawki'!#REF!,IF('Arkusz obliczeniowy'!$B23="pojemnik",VLOOKUP('Arkusz obliczeniowy'!$C23,'Wielkość urządzeń i stawki'!$A$2:$C$6,2,FALSE),IF('Arkusz obliczeniowy'!$B23="worek",VLOOKUP('Arkusz obliczeniowy'!$C23,'Wielkość urządzeń i stawki'!$A$2:$C$6,3,FALSE),0))))</f>
      </c>
      <c r="I23" s="163">
        <f t="shared" si="2"/>
      </c>
      <c r="J23" s="92">
        <f t="shared" si="3"/>
      </c>
      <c r="K23" s="93" t="str">
        <f t="shared" si="4"/>
        <v>brak zadeklarowanego urządzenia do zbierania odpadów</v>
      </c>
    </row>
    <row r="24" spans="1:11" ht="15.75" hidden="1" thickBot="1">
      <c r="A24" s="143" t="s">
        <v>35</v>
      </c>
      <c r="B24" s="56"/>
      <c r="C24" s="57"/>
      <c r="D24" s="56"/>
      <c r="E24" s="117">
        <f>IF(OR(B24="",C24="",D24=""),"",'Ilość odbioru odpadów'!$B$6)</f>
      </c>
      <c r="F24" s="127">
        <f t="shared" si="0"/>
      </c>
      <c r="G24" s="127">
        <f t="shared" si="1"/>
      </c>
      <c r="H24" s="156">
        <f>IF(G24="","",IF('Arkusz obliczeniowy'!$C24&gt;1500,('Arkusz obliczeniowy'!$C24-1500)*'Wielkość urządzeń i stawki'!#REF!+'Wielkość urządzeń i stawki'!#REF!,IF('Arkusz obliczeniowy'!$B24="pojemnik",VLOOKUP('Arkusz obliczeniowy'!$C24,'Wielkość urządzeń i stawki'!$A$2:$C$6,2,FALSE),IF('Arkusz obliczeniowy'!$B24="worek",VLOOKUP('Arkusz obliczeniowy'!$C24,'Wielkość urządzeń i stawki'!$A$2:$C$6,3,FALSE),0))))</f>
      </c>
      <c r="I24" s="164">
        <f t="shared" si="2"/>
      </c>
      <c r="J24" s="33">
        <f t="shared" si="3"/>
      </c>
      <c r="K24" s="28" t="str">
        <f t="shared" si="4"/>
        <v>brak zadeklarowanego urządzenia do zbierania odpadów</v>
      </c>
    </row>
    <row r="25" spans="1:11" ht="15.75" hidden="1" thickBot="1">
      <c r="A25" s="142" t="s">
        <v>35</v>
      </c>
      <c r="B25" s="58"/>
      <c r="C25" s="59"/>
      <c r="D25" s="58"/>
      <c r="E25" s="116">
        <f>IF(OR(B25="",C25="",D25=""),"",'Ilość odbioru odpadów'!$B$6)</f>
      </c>
      <c r="F25" s="128">
        <f t="shared" si="0"/>
      </c>
      <c r="G25" s="128">
        <f t="shared" si="1"/>
      </c>
      <c r="H25" s="157">
        <f>IF(G25="","",IF('Arkusz obliczeniowy'!$C25&gt;1500,('Arkusz obliczeniowy'!$C25-1500)*'Wielkość urządzeń i stawki'!#REF!+'Wielkość urządzeń i stawki'!#REF!,IF('Arkusz obliczeniowy'!$B25="pojemnik",VLOOKUP('Arkusz obliczeniowy'!$C25,'Wielkość urządzeń i stawki'!$A$2:$C$6,2,FALSE),IF('Arkusz obliczeniowy'!$B25="worek",VLOOKUP('Arkusz obliczeniowy'!$C25,'Wielkość urządzeń i stawki'!$A$2:$C$6,3,FALSE),0))))</f>
      </c>
      <c r="I25" s="165">
        <f t="shared" si="2"/>
      </c>
      <c r="J25" s="34">
        <f t="shared" si="3"/>
      </c>
      <c r="K25" s="29" t="str">
        <f t="shared" si="4"/>
        <v>brak zadeklarowanego urządzenia do zbierania odpadów</v>
      </c>
    </row>
    <row r="26" spans="1:11" ht="15.75" thickTop="1">
      <c r="A26" s="144"/>
      <c r="B26" s="30"/>
      <c r="C26" s="12"/>
      <c r="D26" s="30"/>
      <c r="E26" s="118"/>
      <c r="F26" s="12"/>
      <c r="G26" s="30"/>
      <c r="H26" s="31" t="s">
        <v>27</v>
      </c>
      <c r="I26" s="145">
        <f>SUM(I8:I25)</f>
        <v>1475</v>
      </c>
      <c r="J26" s="35">
        <f>SUM(J8:J25)</f>
        <v>122.91666666666666</v>
      </c>
      <c r="K26" s="12">
        <f>IF(AND(K8="",K11="",K14="",K17="",K20=""),"","Niepoprawnie wypełnione dane")</f>
      </c>
    </row>
    <row r="27" spans="5:6" ht="15">
      <c r="E27"/>
      <c r="F27" s="109"/>
    </row>
    <row r="28" spans="2:14" ht="15">
      <c r="B28" s="171" t="s">
        <v>48</v>
      </c>
      <c r="C28" s="171"/>
      <c r="D28" s="171"/>
      <c r="E28" s="171"/>
      <c r="F28" s="171"/>
      <c r="G28" s="171"/>
      <c r="H28" s="171"/>
      <c r="I28" s="9"/>
      <c r="J28" s="32">
        <f>J26</f>
        <v>122.91666666666666</v>
      </c>
      <c r="N28" s="2"/>
    </row>
    <row r="29" spans="2:10" ht="15">
      <c r="B29" s="9"/>
      <c r="C29" s="9"/>
      <c r="D29" s="9"/>
      <c r="E29" s="9"/>
      <c r="F29" s="9"/>
      <c r="G29" s="9"/>
      <c r="H29" s="9"/>
      <c r="I29" s="9"/>
      <c r="J29" s="32"/>
    </row>
    <row r="30" spans="1:11" ht="31.5" customHeight="1">
      <c r="A30" s="173" t="s">
        <v>53</v>
      </c>
      <c r="B30" s="173"/>
      <c r="C30" s="174"/>
      <c r="D30" s="175"/>
      <c r="E30" s="175"/>
      <c r="F30" s="175"/>
      <c r="G30" s="175"/>
      <c r="H30" s="175"/>
      <c r="I30" s="175"/>
      <c r="J30" s="176"/>
      <c r="K30" s="168"/>
    </row>
    <row r="31" spans="1:11" ht="34.5" customHeight="1">
      <c r="A31" s="173" t="s">
        <v>51</v>
      </c>
      <c r="B31" s="173"/>
      <c r="C31" s="174"/>
      <c r="D31" s="175"/>
      <c r="E31" s="175"/>
      <c r="F31" s="175"/>
      <c r="G31" s="175"/>
      <c r="H31" s="175"/>
      <c r="I31" s="175"/>
      <c r="J31" s="176"/>
      <c r="K31" s="168"/>
    </row>
    <row r="32" spans="1:11" ht="34.5" customHeight="1">
      <c r="A32" s="173" t="s">
        <v>74</v>
      </c>
      <c r="B32" s="173"/>
      <c r="C32" s="174"/>
      <c r="D32" s="175"/>
      <c r="E32" s="175"/>
      <c r="F32" s="175"/>
      <c r="G32" s="175"/>
      <c r="H32" s="175"/>
      <c r="I32" s="175"/>
      <c r="J32" s="176"/>
      <c r="K32" s="168"/>
    </row>
    <row r="33" spans="1:11" ht="34.5" customHeight="1">
      <c r="A33" s="96"/>
      <c r="B33" s="96"/>
      <c r="C33" s="167"/>
      <c r="D33" s="167"/>
      <c r="E33" s="167"/>
      <c r="F33" s="167"/>
      <c r="G33" s="167"/>
      <c r="H33" s="167"/>
      <c r="I33" s="167"/>
      <c r="J33" s="167"/>
      <c r="K33" s="167"/>
    </row>
    <row r="34" spans="1:13" ht="183" customHeight="1">
      <c r="A34" s="172" t="s">
        <v>69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8"/>
      <c r="M34" s="8"/>
    </row>
    <row r="35" ht="15">
      <c r="E35"/>
    </row>
    <row r="36" ht="15">
      <c r="E36"/>
    </row>
    <row r="37" ht="15">
      <c r="E37"/>
    </row>
    <row r="38" ht="15">
      <c r="E38"/>
    </row>
    <row r="39" ht="15">
      <c r="E39"/>
    </row>
    <row r="40" ht="15">
      <c r="E40"/>
    </row>
    <row r="41" ht="15">
      <c r="E41"/>
    </row>
    <row r="42" ht="15">
      <c r="E42"/>
    </row>
    <row r="43" ht="15">
      <c r="E43"/>
    </row>
    <row r="44" ht="15">
      <c r="E44"/>
    </row>
    <row r="45" ht="15">
      <c r="E45"/>
    </row>
    <row r="46" ht="15">
      <c r="E46"/>
    </row>
    <row r="47" ht="15">
      <c r="E47"/>
    </row>
    <row r="48" ht="15">
      <c r="E48"/>
    </row>
    <row r="49" ht="15">
      <c r="E49"/>
    </row>
    <row r="50" ht="15">
      <c r="E50"/>
    </row>
    <row r="51" ht="15">
      <c r="E51"/>
    </row>
    <row r="52" ht="15">
      <c r="E52"/>
    </row>
    <row r="53" ht="15">
      <c r="E53"/>
    </row>
    <row r="54" ht="15">
      <c r="E54"/>
    </row>
    <row r="55" ht="15">
      <c r="E55"/>
    </row>
    <row r="56" ht="15">
      <c r="E56"/>
    </row>
    <row r="57" ht="15">
      <c r="E57"/>
    </row>
    <row r="58" ht="15">
      <c r="E58"/>
    </row>
    <row r="59" ht="15">
      <c r="E59"/>
    </row>
    <row r="60" ht="15">
      <c r="E60"/>
    </row>
    <row r="61" ht="15">
      <c r="E61"/>
    </row>
    <row r="62" ht="15">
      <c r="E62"/>
    </row>
    <row r="63" ht="15">
      <c r="E63"/>
    </row>
    <row r="64" ht="15">
      <c r="E64"/>
    </row>
    <row r="65" ht="15">
      <c r="E65"/>
    </row>
    <row r="66" ht="15">
      <c r="E66"/>
    </row>
    <row r="67" ht="15">
      <c r="E67"/>
    </row>
    <row r="68" ht="15">
      <c r="E68"/>
    </row>
    <row r="69" ht="15">
      <c r="E69"/>
    </row>
    <row r="70" ht="15">
      <c r="E70"/>
    </row>
    <row r="71" ht="15">
      <c r="E71"/>
    </row>
    <row r="72" ht="15">
      <c r="E72"/>
    </row>
    <row r="73" ht="15">
      <c r="E73"/>
    </row>
    <row r="74" ht="15">
      <c r="E74"/>
    </row>
    <row r="75" ht="15">
      <c r="E75"/>
    </row>
    <row r="76" ht="15">
      <c r="E76"/>
    </row>
    <row r="77" ht="15">
      <c r="E77"/>
    </row>
  </sheetData>
  <sheetProtection password="DA4C" sheet="1"/>
  <protectedRanges>
    <protectedRange sqref="D23:D25" name="Rozstęp16"/>
    <protectedRange sqref="D17:D19" name="Rozstęp14"/>
    <protectedRange sqref="D14:D16" name="Rozstęp13"/>
    <protectedRange sqref="D8:D10" name="Rozstęp8"/>
    <protectedRange sqref="B8:C10" name="Rozstęp1"/>
    <protectedRange sqref="B11:C13" name="Rozstęp3"/>
    <protectedRange sqref="B14:C16" name="Rozstęp4"/>
    <protectedRange sqref="B17:C19" name="Rozstęp5"/>
    <protectedRange sqref="B20:C22" name="Rozstęp6"/>
    <protectedRange sqref="B23:C25" name="Rozstęp7"/>
    <protectedRange sqref="D11:D13" name="Rozstęp9"/>
    <protectedRange sqref="D11:D13" name="Rozstęp10"/>
    <protectedRange sqref="D14:D16" name="Rozstęp11"/>
    <protectedRange sqref="D17:D19" name="Rozstęp12"/>
    <protectedRange sqref="D20:D22" name="Rozstęp15"/>
  </protectedRanges>
  <mergeCells count="10">
    <mergeCell ref="B1:J1"/>
    <mergeCell ref="B3:J3"/>
    <mergeCell ref="B28:H28"/>
    <mergeCell ref="A34:K34"/>
    <mergeCell ref="A30:B30"/>
    <mergeCell ref="A31:B31"/>
    <mergeCell ref="A32:B32"/>
    <mergeCell ref="C30:J30"/>
    <mergeCell ref="C31:J31"/>
    <mergeCell ref="C32:J32"/>
  </mergeCells>
  <printOptions/>
  <pageMargins left="0.31496062992125984" right="0.31496062992125984" top="0.15748031496062992" bottom="0.35433070866141736" header="0.31496062992125984" footer="0.31496062992125984"/>
  <pageSetup fitToHeight="0" fitToWidth="1" horizontalDpi="600" verticalDpi="600" orientation="landscape" paperSize="9" r:id="rId3"/>
  <legacyDrawing r:id="rId1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0">
      <selection activeCell="K19" sqref="K19"/>
    </sheetView>
  </sheetViews>
  <sheetFormatPr defaultColWidth="9.140625" defaultRowHeight="15"/>
  <cols>
    <col min="1" max="1" width="25.140625" style="0" customWidth="1"/>
    <col min="2" max="2" width="22.8515625" style="0" customWidth="1"/>
    <col min="3" max="3" width="15.57421875" style="0" customWidth="1"/>
    <col min="4" max="4" width="20.421875" style="0" customWidth="1"/>
    <col min="5" max="6" width="12.00390625" style="0" customWidth="1"/>
  </cols>
  <sheetData>
    <row r="1" spans="1:7" ht="50.25" customHeight="1">
      <c r="A1" s="177" t="s">
        <v>49</v>
      </c>
      <c r="B1" s="177"/>
      <c r="C1" s="177"/>
      <c r="D1" s="177"/>
      <c r="E1" s="177"/>
      <c r="F1" s="177"/>
      <c r="G1" s="177"/>
    </row>
    <row r="3" spans="1:7" ht="21">
      <c r="A3" s="15" t="s">
        <v>23</v>
      </c>
      <c r="B3" s="15"/>
      <c r="C3" s="15"/>
      <c r="D3" s="15"/>
      <c r="E3" s="15"/>
      <c r="F3" s="15"/>
      <c r="G3" s="15"/>
    </row>
    <row r="4" spans="1:7" ht="60">
      <c r="A4" s="8" t="s">
        <v>24</v>
      </c>
      <c r="B4" s="8" t="s">
        <v>37</v>
      </c>
      <c r="C4" s="8" t="s">
        <v>41</v>
      </c>
      <c r="D4" s="8" t="s">
        <v>43</v>
      </c>
      <c r="E4" s="8" t="s">
        <v>25</v>
      </c>
      <c r="F4" s="8" t="s">
        <v>26</v>
      </c>
      <c r="G4" s="8" t="s">
        <v>47</v>
      </c>
    </row>
    <row r="5" spans="1:7" ht="15">
      <c r="A5" t="s">
        <v>18</v>
      </c>
      <c r="B5">
        <v>1100</v>
      </c>
      <c r="C5">
        <v>1</v>
      </c>
      <c r="D5">
        <f>'Arkusz obliczeniowy 2'!$C5*'Ilość odbioru odpadów'!$C$2</f>
        <v>1.66</v>
      </c>
      <c r="E5">
        <f>IF('Arkusz obliczeniowy 2'!$B5&gt;1100,('Arkusz obliczeniowy 2'!$B5-1100)*'Wielkość urządzeń i stawki'!#REF!+'Wielkość urządzeń i stawki'!$B$6,IF('Arkusz obliczeniowy 2'!$A5="pojemnik",VLOOKUP('Arkusz obliczeniowy 2'!$B5,'Wielkość urządzeń i stawki'!A2:C6,2,FALSE),IF('Arkusz obliczeniowy 2'!$A5="worek",VLOOKUP('Arkusz obliczeniowy 2'!$B5,'Wielkość urządzeń i stawki'!A2:C6,3,FALSE),0)))</f>
        <v>125</v>
      </c>
      <c r="F5">
        <f>ROUNDDOWN('Arkusz obliczeniowy 2'!$D5*'Arkusz obliczeniowy 2'!$E5,2)</f>
        <v>207.5</v>
      </c>
      <c r="G5">
        <f>IF(AND('Arkusz obliczeniowy 2'!$A5="worek",'Arkusz obliczeniowy 2'!$B5&gt;240),"Zaplanowano zbyt dużej wielkości worki","")</f>
      </c>
    </row>
    <row r="6" spans="4:7" ht="15">
      <c r="D6">
        <f>'Arkusz obliczeniowy 2'!$C6*'Ilość odbioru odpadów'!$C$2</f>
        <v>0</v>
      </c>
      <c r="E6">
        <f>IF('Arkusz obliczeniowy 2'!$B6&gt;1100,('Arkusz obliczeniowy 2'!$B6-1100)*'Wielkość urządzeń i stawki'!#REF!+'Wielkość urządzeń i stawki'!$B$6,IF('Arkusz obliczeniowy 2'!$A6="pojemnik",VLOOKUP('Arkusz obliczeniowy 2'!$B6,'Wielkość urządzeń i stawki'!A2:C6,2,FALSE),IF('Arkusz obliczeniowy 2'!$A6="worek",VLOOKUP('Arkusz obliczeniowy 2'!$B6,'Wielkość urządzeń i stawki'!A2:C6,3,FALSE),0)))</f>
        <v>0</v>
      </c>
      <c r="F6">
        <f>ROUNDDOWN('Arkusz obliczeniowy 2'!$D6*'Arkusz obliczeniowy 2'!$E6,2)</f>
        <v>0</v>
      </c>
      <c r="G6">
        <f>IF(AND('Arkusz obliczeniowy 2'!$A6="worek",'Arkusz obliczeniowy 2'!$B6&gt;240),"Zaplanowano zbyt dużej wielkości worki","")</f>
      </c>
    </row>
    <row r="7" spans="4:7" ht="15">
      <c r="D7">
        <f>'Arkusz obliczeniowy 2'!$C7*'Ilość odbioru odpadów'!$C$2</f>
        <v>0</v>
      </c>
      <c r="E7">
        <f>IF('Arkusz obliczeniowy 2'!$B7&gt;1100,('Arkusz obliczeniowy 2'!$B7-1100)*'Wielkość urządzeń i stawki'!#REF!+'Wielkość urządzeń i stawki'!$B$6,IF('Arkusz obliczeniowy 2'!$A7="pojemnik",VLOOKUP('Arkusz obliczeniowy 2'!$B7,'Wielkość urządzeń i stawki'!A2:C7,2,FALSE),IF('Arkusz obliczeniowy 2'!$A7="worek",VLOOKUP('Arkusz obliczeniowy 2'!$B7,'Wielkość urządzeń i stawki'!A2:C7,3,FALSE),0)))</f>
        <v>0</v>
      </c>
      <c r="F7">
        <f>ROUNDDOWN('Arkusz obliczeniowy 2'!$D7*'Arkusz obliczeniowy 2'!$E7,2)</f>
        <v>0</v>
      </c>
      <c r="G7">
        <f>IF(AND('Arkusz obliczeniowy 2'!$A7="worek",'Arkusz obliczeniowy 2'!$B7&gt;240),"Zaplanowano zbyt dużej wielkości worki","")</f>
      </c>
    </row>
    <row r="8" spans="5:6" ht="15">
      <c r="E8" s="9" t="s">
        <v>27</v>
      </c>
      <c r="F8">
        <f>SUBTOTAL(109,F5:F7)</f>
        <v>207.5</v>
      </c>
    </row>
    <row r="10" spans="1:7" ht="21">
      <c r="A10" s="14" t="s">
        <v>32</v>
      </c>
      <c r="B10" s="14"/>
      <c r="C10" s="14"/>
      <c r="D10" s="14"/>
      <c r="E10" s="14"/>
      <c r="F10" s="14"/>
      <c r="G10" s="14"/>
    </row>
    <row r="11" spans="1:7" ht="60">
      <c r="A11" s="8" t="s">
        <v>24</v>
      </c>
      <c r="B11" s="8" t="s">
        <v>37</v>
      </c>
      <c r="C11" s="8" t="s">
        <v>41</v>
      </c>
      <c r="D11" s="8" t="s">
        <v>43</v>
      </c>
      <c r="E11" s="8" t="s">
        <v>25</v>
      </c>
      <c r="F11" s="8" t="s">
        <v>26</v>
      </c>
      <c r="G11" s="8" t="s">
        <v>47</v>
      </c>
    </row>
    <row r="12" spans="1:7" ht="15">
      <c r="A12" t="s">
        <v>18</v>
      </c>
      <c r="B12">
        <v>1100</v>
      </c>
      <c r="C12">
        <v>1</v>
      </c>
      <c r="D12">
        <f>'Arkusz obliczeniowy 2'!$C12*'Ilość odbioru odpadów'!$C$3</f>
        <v>1</v>
      </c>
      <c r="E12">
        <f>IF('Arkusz obliczeniowy 2'!$B12&gt;1100,('Arkusz obliczeniowy 2'!$B12-1100)*'Wielkość urządzeń i stawki'!#REF!+'Wielkość urządzeń i stawki'!$B$6,IF('Arkusz obliczeniowy 2'!$A12="pojemnik",VLOOKUP('Arkusz obliczeniowy 2'!$B12,'Wielkość urządzeń i stawki'!A2:C6,2,FALSE),IF('Arkusz obliczeniowy 2'!$A12="worek",VLOOKUP('Arkusz obliczeniowy 2'!$B12,'Wielkość urządzeń i stawki'!A2:C6,3,FALSE),0)))</f>
        <v>125</v>
      </c>
      <c r="F12">
        <f>ROUNDDOWN('Arkusz obliczeniowy 2'!$D12*'Arkusz obliczeniowy 2'!$E12,2)</f>
        <v>125</v>
      </c>
      <c r="G12">
        <f>IF(AND('Arkusz obliczeniowy 2'!$A12="worek",'Arkusz obliczeniowy 2'!$B12&gt;240),"Zaplanowano zbyt dużej wielkości worki","")</f>
      </c>
    </row>
    <row r="13" spans="1:7" ht="15">
      <c r="A13" t="s">
        <v>18</v>
      </c>
      <c r="B13">
        <v>1100</v>
      </c>
      <c r="C13">
        <v>2</v>
      </c>
      <c r="D13">
        <f>'Arkusz obliczeniowy 2'!$C13*'Ilość odbioru odpadów'!$C$3</f>
        <v>2</v>
      </c>
      <c r="E13">
        <f>IF('Arkusz obliczeniowy 2'!$B13&gt;1100,('Arkusz obliczeniowy 2'!$B13-1100)*'Wielkość urządzeń i stawki'!#REF!+'Wielkość urządzeń i stawki'!$B$6,IF('Arkusz obliczeniowy 2'!$A13="pojemnik",VLOOKUP('Arkusz obliczeniowy 2'!$B13,'Wielkość urządzeń i stawki'!A2:C6,2,FALSE),IF('Arkusz obliczeniowy 2'!$A13="worek",VLOOKUP('Arkusz obliczeniowy 2'!$B13,'Wielkość urządzeń i stawki'!A2:C6,3,FALSE),0)))</f>
        <v>125</v>
      </c>
      <c r="F13">
        <f>ROUNDDOWN('Arkusz obliczeniowy 2'!$D13*'Arkusz obliczeniowy 2'!$E13,2)</f>
        <v>250</v>
      </c>
      <c r="G13">
        <f>IF(AND('Arkusz obliczeniowy 2'!$A13="worek",'Arkusz obliczeniowy 2'!$B13&gt;240),"Zaplanowano zbyt dużej wielkości worki","")</f>
      </c>
    </row>
    <row r="14" spans="4:7" ht="15">
      <c r="D14">
        <f>'Arkusz obliczeniowy 2'!$C14*'Ilość odbioru odpadów'!$C$3</f>
        <v>0</v>
      </c>
      <c r="E14">
        <f>IF('Arkusz obliczeniowy 2'!$B14&gt;1100,('Arkusz obliczeniowy 2'!$B14-1100)*'Wielkość urządzeń i stawki'!#REF!+'Wielkość urządzeń i stawki'!$B$6,IF('Arkusz obliczeniowy 2'!$A14="pojemnik",VLOOKUP('Arkusz obliczeniowy 2'!$B14,'Wielkość urządzeń i stawki'!A2:C7,2,FALSE),IF('Arkusz obliczeniowy 2'!$A14="worek",VLOOKUP('Arkusz obliczeniowy 2'!$B14,'Wielkość urządzeń i stawki'!A2:C7,3,FALSE),0)))</f>
        <v>0</v>
      </c>
      <c r="F14">
        <f>ROUNDDOWN('Arkusz obliczeniowy 2'!$D14*'Arkusz obliczeniowy 2'!$E14,2)</f>
        <v>0</v>
      </c>
      <c r="G14">
        <f>IF(AND('Arkusz obliczeniowy 2'!$A14="worek",'Arkusz obliczeniowy 2'!$B14&gt;240),"Zaplanowano zbyt dużej wielkości worki","")</f>
      </c>
    </row>
    <row r="15" spans="5:6" ht="15">
      <c r="E15" s="9" t="s">
        <v>27</v>
      </c>
      <c r="F15">
        <f>SUBTOTAL(109,F12:F14)</f>
        <v>375</v>
      </c>
    </row>
    <row r="17" spans="1:7" ht="21">
      <c r="A17" s="16" t="s">
        <v>33</v>
      </c>
      <c r="B17" s="16"/>
      <c r="C17" s="16"/>
      <c r="D17" s="16"/>
      <c r="E17" s="16"/>
      <c r="F17" s="16"/>
      <c r="G17" s="16"/>
    </row>
    <row r="18" spans="1:7" ht="60">
      <c r="A18" s="8" t="s">
        <v>24</v>
      </c>
      <c r="B18" s="8" t="s">
        <v>37</v>
      </c>
      <c r="C18" s="8" t="s">
        <v>41</v>
      </c>
      <c r="D18" s="8" t="s">
        <v>43</v>
      </c>
      <c r="E18" s="8" t="s">
        <v>25</v>
      </c>
      <c r="F18" s="8" t="s">
        <v>26</v>
      </c>
      <c r="G18" s="8" t="s">
        <v>47</v>
      </c>
    </row>
    <row r="19" spans="1:6" ht="15">
      <c r="A19" t="s">
        <v>18</v>
      </c>
      <c r="B19">
        <v>1100</v>
      </c>
      <c r="C19">
        <v>1</v>
      </c>
      <c r="D19">
        <f>'Arkusz obliczeniowy 2'!$C19*'Ilość odbioru odpadów'!$C$4</f>
        <v>0.16</v>
      </c>
      <c r="E19">
        <f>IF('Arkusz obliczeniowy 2'!$B19&gt;1100,('Arkusz obliczeniowy 2'!$B19-1100)*'Wielkość urządzeń i stawki'!#REF!+'Wielkość urządzeń i stawki'!$B$6,IF('Arkusz obliczeniowy 2'!$A19="pojemnik",VLOOKUP('Arkusz obliczeniowy 2'!$B19,'Wielkość urządzeń i stawki'!A2:C6,2,FALSE),IF('Arkusz obliczeniowy 2'!$A19="worek",VLOOKUP('Arkusz obliczeniowy 2'!$B19,'Wielkość urządzeń i stawki'!A2:C6,3,FALSE),0)))</f>
        <v>125</v>
      </c>
      <c r="F19">
        <f>ROUNDDOWN('Arkusz obliczeniowy 2'!$D19*'Arkusz obliczeniowy 2'!$E19,2)</f>
        <v>20</v>
      </c>
    </row>
    <row r="20" spans="4:6" ht="15">
      <c r="D20">
        <f>'Arkusz obliczeniowy 2'!$C20*'Ilość odbioru odpadów'!$C$4</f>
        <v>0</v>
      </c>
      <c r="E20">
        <f>IF('Arkusz obliczeniowy 2'!$B20&gt;1100,('Arkusz obliczeniowy 2'!$B20-1100)*'Wielkość urządzeń i stawki'!#REF!+'Wielkość urządzeń i stawki'!$B$6,IF('Arkusz obliczeniowy 2'!$A20="pojemnik",VLOOKUP('Arkusz obliczeniowy 2'!$B20,'Wielkość urządzeń i stawki'!A2:C6,2,FALSE),IF('Arkusz obliczeniowy 2'!$A20="worek",VLOOKUP('Arkusz obliczeniowy 2'!$B20,'Wielkość urządzeń i stawki'!A2:C6,3,FALSE),0)))</f>
        <v>0</v>
      </c>
      <c r="F20">
        <f>ROUNDDOWN('Arkusz obliczeniowy 2'!$D20*'Arkusz obliczeniowy 2'!$E20,2)</f>
        <v>0</v>
      </c>
    </row>
    <row r="21" spans="4:6" ht="15">
      <c r="D21">
        <f>'Arkusz obliczeniowy 2'!$C21*'Ilość odbioru odpadów'!$C$4</f>
        <v>0</v>
      </c>
      <c r="E21">
        <f>IF('Arkusz obliczeniowy 2'!$B21&gt;1100,('Arkusz obliczeniowy 2'!$B21-1100)*'Wielkość urządzeń i stawki'!#REF!+'Wielkość urządzeń i stawki'!$B$6,IF('Arkusz obliczeniowy 2'!$A21="pojemnik",VLOOKUP('Arkusz obliczeniowy 2'!$B21,'Wielkość urządzeń i stawki'!A2:C7,2,FALSE),IF('Arkusz obliczeniowy 2'!$A21="worek",VLOOKUP('Arkusz obliczeniowy 2'!$B21,'Wielkość urządzeń i stawki'!A2:C7,3,FALSE),0)))</f>
        <v>0</v>
      </c>
      <c r="F21">
        <f>ROUNDDOWN('Arkusz obliczeniowy 2'!$D21*'Arkusz obliczeniowy 2'!$E21,2)</f>
        <v>0</v>
      </c>
    </row>
    <row r="22" spans="5:6" ht="15">
      <c r="E22" s="9" t="s">
        <v>27</v>
      </c>
      <c r="F22">
        <f>SUBTOTAL(109,F19:F21)</f>
        <v>20</v>
      </c>
    </row>
    <row r="24" spans="1:7" ht="21">
      <c r="A24" s="17" t="s">
        <v>34</v>
      </c>
      <c r="B24" s="17"/>
      <c r="C24" s="17"/>
      <c r="D24" s="17"/>
      <c r="E24" s="17"/>
      <c r="F24" s="17"/>
      <c r="G24" s="17"/>
    </row>
    <row r="25" spans="1:7" ht="60">
      <c r="A25" s="8" t="s">
        <v>24</v>
      </c>
      <c r="B25" s="8" t="s">
        <v>37</v>
      </c>
      <c r="C25" s="8" t="s">
        <v>41</v>
      </c>
      <c r="D25" s="8" t="s">
        <v>43</v>
      </c>
      <c r="E25" s="8" t="s">
        <v>25</v>
      </c>
      <c r="F25" s="8" t="s">
        <v>26</v>
      </c>
      <c r="G25" s="8" t="s">
        <v>47</v>
      </c>
    </row>
    <row r="26" spans="1:6" ht="15">
      <c r="A26" t="s">
        <v>18</v>
      </c>
      <c r="B26">
        <v>1100</v>
      </c>
      <c r="C26">
        <v>1</v>
      </c>
      <c r="D26">
        <f>'Arkusz obliczeniowy 2'!$C26*'Ilość odbioru odpadów'!$C$5</f>
        <v>0.33</v>
      </c>
      <c r="E26">
        <f>IF('Arkusz obliczeniowy 2'!$B26&gt;1100,('Arkusz obliczeniowy 2'!$B26-1100)*'Wielkość urządzeń i stawki'!#REF!+'Wielkość urządzeń i stawki'!$B$6,IF('Arkusz obliczeniowy 2'!$A26="pojemnik",VLOOKUP('Arkusz obliczeniowy 2'!$B26,'Wielkość urządzeń i stawki'!A2:C6,2,FALSE),IF('Arkusz obliczeniowy 2'!$A26="worek",VLOOKUP('Arkusz obliczeniowy 2'!$B26,'Wielkość urządzeń i stawki'!A2:C6,3,FALSE),0)))</f>
        <v>125</v>
      </c>
      <c r="F26">
        <f>ROUNDDOWN('Arkusz obliczeniowy 2'!$D26*'Arkusz obliczeniowy 2'!$E26,2)</f>
        <v>41.25</v>
      </c>
    </row>
    <row r="27" spans="4:6" ht="15">
      <c r="D27">
        <f>'Arkusz obliczeniowy 2'!$C27*'Ilość odbioru odpadów'!$C$5</f>
        <v>0</v>
      </c>
      <c r="E27">
        <f>IF('Arkusz obliczeniowy 2'!$B27&gt;1100,('Arkusz obliczeniowy 2'!$B27-1100)*'Wielkość urządzeń i stawki'!#REF!+'Wielkość urządzeń i stawki'!$B$6,IF('Arkusz obliczeniowy 2'!$A27="pojemnik",VLOOKUP('Arkusz obliczeniowy 2'!$B27,'Wielkość urządzeń i stawki'!A2:C6,2,FALSE),IF('Arkusz obliczeniowy 2'!$A27="worek",VLOOKUP('Arkusz obliczeniowy 2'!$B27,'Wielkość urządzeń i stawki'!A2:C6,3,FALSE),0)))</f>
        <v>0</v>
      </c>
      <c r="F27">
        <f>ROUNDDOWN('Arkusz obliczeniowy 2'!$D27*'Arkusz obliczeniowy 2'!$E27,2)</f>
        <v>0</v>
      </c>
    </row>
    <row r="28" spans="4:6" ht="15">
      <c r="D28">
        <f>'Arkusz obliczeniowy 2'!$C28*'Ilość odbioru odpadów'!$C$5</f>
        <v>0</v>
      </c>
      <c r="E28">
        <f>IF('Arkusz obliczeniowy 2'!$B28&gt;1100,('Arkusz obliczeniowy 2'!$B28-1100)*'Wielkość urządzeń i stawki'!#REF!+'Wielkość urządzeń i stawki'!$B$6,IF('Arkusz obliczeniowy 2'!$A28="pojemnik",VLOOKUP('Arkusz obliczeniowy 2'!$B28,'Wielkość urządzeń i stawki'!A2:C7,2,FALSE),IF('Arkusz obliczeniowy 2'!$A28="worek",VLOOKUP('Arkusz obliczeniowy 2'!$B28,'Wielkość urządzeń i stawki'!A2:C7,3,FALSE),0)))</f>
        <v>0</v>
      </c>
      <c r="F28">
        <f>ROUNDDOWN('Arkusz obliczeniowy 2'!$D28*'Arkusz obliczeniowy 2'!$E28,2)</f>
        <v>0</v>
      </c>
    </row>
    <row r="29" spans="5:6" ht="15">
      <c r="E29" s="9" t="s">
        <v>27</v>
      </c>
      <c r="F29">
        <f>SUBTOTAL(109,F26:F28)</f>
        <v>41.25</v>
      </c>
    </row>
    <row r="31" spans="1:7" ht="21">
      <c r="A31" s="18" t="s">
        <v>35</v>
      </c>
      <c r="B31" s="18"/>
      <c r="C31" s="18"/>
      <c r="D31" s="18"/>
      <c r="E31" s="18"/>
      <c r="F31" s="18"/>
      <c r="G31" s="18"/>
    </row>
    <row r="32" spans="1:7" ht="60">
      <c r="A32" s="8" t="s">
        <v>24</v>
      </c>
      <c r="B32" s="8" t="s">
        <v>37</v>
      </c>
      <c r="C32" s="8" t="s">
        <v>41</v>
      </c>
      <c r="D32" s="8" t="s">
        <v>43</v>
      </c>
      <c r="E32" s="8" t="s">
        <v>25</v>
      </c>
      <c r="F32" s="8" t="s">
        <v>26</v>
      </c>
      <c r="G32" s="8" t="s">
        <v>47</v>
      </c>
    </row>
    <row r="33" spans="1:6" ht="15">
      <c r="A33" t="s">
        <v>18</v>
      </c>
      <c r="B33">
        <v>1100</v>
      </c>
      <c r="C33">
        <v>1</v>
      </c>
      <c r="D33">
        <f>'Arkusz obliczeniowy 2'!$C33*'Ilość odbioru odpadów'!$C$6</f>
        <v>0.66</v>
      </c>
      <c r="E33">
        <f>IF('Arkusz obliczeniowy 2'!$B33&gt;1100,('Arkusz obliczeniowy 2'!$B33-1100)*'Wielkość urządzeń i stawki'!#REF!+'Wielkość urządzeń i stawki'!$B$6,IF('Arkusz obliczeniowy 2'!$A33="pojemnik",VLOOKUP('Arkusz obliczeniowy 2'!$B33,'Wielkość urządzeń i stawki'!A2:C6,2,FALSE),IF('Arkusz obliczeniowy 2'!$A33="worek",VLOOKUP('Arkusz obliczeniowy 2'!$B33,'Wielkość urządzeń i stawki'!A2:C6,3,FALSE),0)))</f>
        <v>125</v>
      </c>
      <c r="F33">
        <f>ROUNDDOWN('Arkusz obliczeniowy 2'!$D33*'Arkusz obliczeniowy 2'!$E33,2)</f>
        <v>82.5</v>
      </c>
    </row>
    <row r="34" spans="4:6" ht="15">
      <c r="D34">
        <f>'Arkusz obliczeniowy 2'!$C34*'Ilość odbioru odpadów'!$C$6</f>
        <v>0</v>
      </c>
      <c r="E34">
        <f>IF('Arkusz obliczeniowy 2'!$B34&gt;1100,('Arkusz obliczeniowy 2'!$B34-1100)*'Wielkość urządzeń i stawki'!#REF!+'Wielkość urządzeń i stawki'!$B$6,IF('Arkusz obliczeniowy 2'!$A34="pojemnik",VLOOKUP('Arkusz obliczeniowy 2'!$B34,'Wielkość urządzeń i stawki'!A2:C6,2,FALSE),IF('Arkusz obliczeniowy 2'!$A34="worek",VLOOKUP('Arkusz obliczeniowy 2'!$B34,'Wielkość urządzeń i stawki'!A2:C6,3,FALSE),0)))</f>
        <v>0</v>
      </c>
      <c r="F34">
        <f>ROUNDDOWN('Arkusz obliczeniowy 2'!$D34*'Arkusz obliczeniowy 2'!$E34,2)</f>
        <v>0</v>
      </c>
    </row>
    <row r="35" spans="4:6" ht="15">
      <c r="D35">
        <f>'Arkusz obliczeniowy 2'!$C35*'Ilość odbioru odpadów'!$C$6</f>
        <v>0</v>
      </c>
      <c r="E35">
        <f>IF('Arkusz obliczeniowy 2'!$B35&gt;1100,('Arkusz obliczeniowy 2'!$B35-1100)*'Wielkość urządzeń i stawki'!#REF!+'Wielkość urządzeń i stawki'!$B$6,IF('Arkusz obliczeniowy 2'!$A35="pojemnik",VLOOKUP('Arkusz obliczeniowy 2'!$B35,'Wielkość urządzeń i stawki'!A2:C7,2,FALSE),IF('Arkusz obliczeniowy 2'!$A35="worek",VLOOKUP('Arkusz obliczeniowy 2'!$B35,'Wielkość urządzeń i stawki'!A2:C7,3,FALSE),0)))</f>
        <v>0</v>
      </c>
      <c r="F35">
        <f>ROUNDDOWN('Arkusz obliczeniowy 2'!$D35*'Arkusz obliczeniowy 2'!$E35,2)</f>
        <v>0</v>
      </c>
    </row>
    <row r="36" spans="5:6" ht="15">
      <c r="E36" s="9" t="s">
        <v>27</v>
      </c>
      <c r="F36">
        <f>SUBTOTAL(109,F33:F35)</f>
        <v>82.5</v>
      </c>
    </row>
    <row r="38" spans="1:7" ht="21">
      <c r="A38" s="19" t="s">
        <v>36</v>
      </c>
      <c r="B38" s="19"/>
      <c r="C38" s="19"/>
      <c r="D38" s="19"/>
      <c r="E38" s="19"/>
      <c r="F38" s="19"/>
      <c r="G38" s="19"/>
    </row>
    <row r="39" spans="1:7" ht="60">
      <c r="A39" s="8" t="s">
        <v>24</v>
      </c>
      <c r="B39" s="8" t="s">
        <v>37</v>
      </c>
      <c r="C39" s="8" t="s">
        <v>41</v>
      </c>
      <c r="D39" s="8" t="s">
        <v>43</v>
      </c>
      <c r="E39" s="8" t="s">
        <v>25</v>
      </c>
      <c r="F39" s="8" t="s">
        <v>26</v>
      </c>
      <c r="G39" s="8" t="s">
        <v>47</v>
      </c>
    </row>
    <row r="40" spans="1:6" ht="15">
      <c r="A40" t="s">
        <v>18</v>
      </c>
      <c r="B40">
        <v>1100</v>
      </c>
      <c r="C40">
        <v>1</v>
      </c>
      <c r="D40">
        <f>'Arkusz obliczeniowy 2'!$C40*'Ilość odbioru odpadów'!$C$7</f>
        <v>1.75</v>
      </c>
      <c r="E40">
        <f>IF('Arkusz obliczeniowy 2'!$B40&gt;1100,('Arkusz obliczeniowy 2'!$B40-1100)*'Wielkość urządzeń i stawki'!#REF!+'Wielkość urządzeń i stawki'!$B$6,IF('Arkusz obliczeniowy 2'!$A40="pojemnik",VLOOKUP('Arkusz obliczeniowy 2'!$B40,'Wielkość urządzeń i stawki'!A2:C6,2,FALSE),IF('Arkusz obliczeniowy 2'!$A40="worek",VLOOKUP('Arkusz obliczeniowy 2'!$B40,'Wielkość urządzeń i stawki'!A2:C6,3,FALSE),0)))</f>
        <v>125</v>
      </c>
      <c r="F40">
        <f>ROUNDDOWN('Arkusz obliczeniowy 2'!$D40*'Arkusz obliczeniowy 2'!$E40,2)</f>
        <v>218.75</v>
      </c>
    </row>
    <row r="41" spans="4:6" ht="15">
      <c r="D41">
        <f>'Arkusz obliczeniowy 2'!$C41*'Ilość odbioru odpadów'!$C$7</f>
        <v>0</v>
      </c>
      <c r="E41">
        <f>IF('Arkusz obliczeniowy 2'!$B41&gt;1100,('Arkusz obliczeniowy 2'!$B41-1100)*'Wielkość urządzeń i stawki'!#REF!+'Wielkość urządzeń i stawki'!$B$6,IF('Arkusz obliczeniowy 2'!$A41="pojemnik",VLOOKUP('Arkusz obliczeniowy 2'!$B41,'Wielkość urządzeń i stawki'!A2:C6,2,FALSE),IF('Arkusz obliczeniowy 2'!$A41="worek",VLOOKUP('Arkusz obliczeniowy 2'!$B41,'Wielkość urządzeń i stawki'!A2:C6,3,FALSE),0)))</f>
        <v>0</v>
      </c>
      <c r="F41">
        <f>ROUNDDOWN('Arkusz obliczeniowy 2'!$D41*'Arkusz obliczeniowy 2'!$E41,2)</f>
        <v>0</v>
      </c>
    </row>
    <row r="42" spans="4:6" ht="15">
      <c r="D42">
        <f>'Arkusz obliczeniowy 2'!$C42*'Ilość odbioru odpadów'!$C$7</f>
        <v>0</v>
      </c>
      <c r="E42">
        <f>IF('Arkusz obliczeniowy 2'!$B42&gt;1100,('Arkusz obliczeniowy 2'!$B42-1100)*'Wielkość urządzeń i stawki'!#REF!+'Wielkość urządzeń i stawki'!$B$6,IF('Arkusz obliczeniowy 2'!$A42="pojemnik",VLOOKUP('Arkusz obliczeniowy 2'!$B42,'Wielkość urządzeń i stawki'!A2:C7,2,FALSE),IF('Arkusz obliczeniowy 2'!$A42="worek",VLOOKUP('Arkusz obliczeniowy 2'!$B42,'Wielkość urządzeń i stawki'!A2:C7,3,FALSE),0)))</f>
        <v>0</v>
      </c>
      <c r="F42">
        <f>ROUNDDOWN('Arkusz obliczeniowy 2'!$D42*'Arkusz obliczeniowy 2'!$E42,2)</f>
        <v>0</v>
      </c>
    </row>
    <row r="43" spans="5:6" ht="15">
      <c r="E43" s="9" t="s">
        <v>27</v>
      </c>
      <c r="F43">
        <f>SUBTOTAL(109,F40:F42)</f>
        <v>218.75</v>
      </c>
    </row>
    <row r="45" spans="1:6" ht="15">
      <c r="A45" s="13" t="s">
        <v>48</v>
      </c>
      <c r="B45" s="13"/>
      <c r="C45" s="13"/>
      <c r="D45" s="13"/>
      <c r="E45" s="13"/>
      <c r="F45" s="13">
        <f>'Arkusz obliczeniowy 2'!$F$8+'Arkusz obliczeniowy 2'!$F$22+'Arkusz obliczeniowy 2'!$F$29+'Arkusz obliczeniowy 2'!$F$36+'Arkusz obliczeniowy 2'!$F$43</f>
        <v>570</v>
      </c>
    </row>
  </sheetData>
  <sheetProtection/>
  <mergeCells count="1">
    <mergeCell ref="A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9.7109375" style="0" customWidth="1"/>
    <col min="2" max="2" width="41.28125" style="0" customWidth="1"/>
  </cols>
  <sheetData>
    <row r="1" ht="15">
      <c r="A1" t="s">
        <v>28</v>
      </c>
    </row>
    <row r="2" spans="1:3" ht="15">
      <c r="A2" t="s">
        <v>23</v>
      </c>
      <c r="B2" t="s">
        <v>29</v>
      </c>
      <c r="C2" t="s">
        <v>30</v>
      </c>
    </row>
    <row r="3" spans="1:3" ht="15">
      <c r="A3" t="s">
        <v>18</v>
      </c>
      <c r="B3" t="s">
        <v>18</v>
      </c>
      <c r="C3" t="s">
        <v>18</v>
      </c>
    </row>
    <row r="4" spans="2:3" ht="15">
      <c r="B4" t="s">
        <v>15</v>
      </c>
      <c r="C4" t="s">
        <v>31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11.57421875" style="0" customWidth="1"/>
    <col min="3" max="3" width="17.7109375" style="0" customWidth="1"/>
  </cols>
  <sheetData>
    <row r="1" spans="1:3" ht="15">
      <c r="A1" t="s">
        <v>44</v>
      </c>
      <c r="B1" t="s">
        <v>45</v>
      </c>
      <c r="C1" t="s">
        <v>46</v>
      </c>
    </row>
    <row r="2" spans="1:3" ht="15">
      <c r="A2" s="10">
        <v>120</v>
      </c>
      <c r="B2" s="94">
        <v>25</v>
      </c>
      <c r="C2" s="10" t="s">
        <v>75</v>
      </c>
    </row>
    <row r="3" spans="1:3" ht="15">
      <c r="A3" s="11">
        <v>240</v>
      </c>
      <c r="B3" s="95">
        <v>37</v>
      </c>
      <c r="C3" s="11" t="s">
        <v>75</v>
      </c>
    </row>
    <row r="4" spans="1:3" ht="15">
      <c r="A4" s="10">
        <v>360</v>
      </c>
      <c r="B4" s="94">
        <v>50</v>
      </c>
      <c r="C4" t="s">
        <v>75</v>
      </c>
    </row>
    <row r="5" spans="1:3" ht="15">
      <c r="A5" s="11">
        <v>660</v>
      </c>
      <c r="B5" s="95">
        <v>80</v>
      </c>
      <c r="C5" t="s">
        <v>75</v>
      </c>
    </row>
    <row r="6" spans="1:3" ht="15">
      <c r="A6" s="10">
        <v>1100</v>
      </c>
      <c r="B6" s="94">
        <v>125</v>
      </c>
      <c r="C6" t="s">
        <v>75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AB30"/>
  <sheetViews>
    <sheetView zoomScalePageLayoutView="0" workbookViewId="0" topLeftCell="A1">
      <selection activeCell="C13" sqref="C13"/>
    </sheetView>
  </sheetViews>
  <sheetFormatPr defaultColWidth="9.140625" defaultRowHeight="15"/>
  <cols>
    <col min="4" max="4" width="9.140625" style="0" customWidth="1"/>
    <col min="9" max="9" width="12.7109375" style="0" customWidth="1"/>
    <col min="10" max="10" width="9.8515625" style="0" bestFit="1" customWidth="1"/>
    <col min="11" max="11" width="18.7109375" style="0" customWidth="1"/>
    <col min="12" max="12" width="16.00390625" style="0" customWidth="1"/>
    <col min="25" max="25" width="11.140625" style="0" customWidth="1"/>
    <col min="26" max="26" width="13.28125" style="0" customWidth="1"/>
    <col min="27" max="27" width="11.28125" style="0" customWidth="1"/>
    <col min="28" max="28" width="16.7109375" style="0" customWidth="1"/>
  </cols>
  <sheetData>
    <row r="1" spans="2:8" ht="159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3:28" ht="15">
      <c r="C2" s="2"/>
      <c r="D2" s="2"/>
      <c r="E2" s="1"/>
      <c r="F2" s="3"/>
      <c r="G2" s="3"/>
      <c r="H2" s="2"/>
      <c r="I2" t="s">
        <v>7</v>
      </c>
      <c r="L2" s="2">
        <v>1819</v>
      </c>
      <c r="R2" t="s">
        <v>8</v>
      </c>
      <c r="S2" s="4"/>
      <c r="T2" s="4"/>
      <c r="X2" s="2">
        <v>1819</v>
      </c>
      <c r="AB2" s="2"/>
    </row>
    <row r="3" spans="3:28" ht="15">
      <c r="C3" s="2"/>
      <c r="D3" s="2"/>
      <c r="E3" s="1"/>
      <c r="F3" s="3"/>
      <c r="G3" s="3"/>
      <c r="H3" s="2"/>
      <c r="I3" t="s">
        <v>9</v>
      </c>
      <c r="L3" s="2">
        <f>ROUNDDOWN(L2*0.032,2)</f>
        <v>58.2</v>
      </c>
      <c r="N3">
        <v>0.0529</v>
      </c>
      <c r="S3" s="2"/>
      <c r="T3" s="2"/>
      <c r="W3" t="s">
        <v>10</v>
      </c>
      <c r="X3" t="s">
        <v>11</v>
      </c>
      <c r="Y3" t="s">
        <v>12</v>
      </c>
      <c r="AA3" t="s">
        <v>13</v>
      </c>
      <c r="AB3" s="2"/>
    </row>
    <row r="4" spans="3:28" ht="15">
      <c r="C4" s="2"/>
      <c r="D4" s="2"/>
      <c r="E4" s="1"/>
      <c r="F4" s="3"/>
      <c r="G4" s="3"/>
      <c r="H4" s="2"/>
      <c r="I4" t="s">
        <v>14</v>
      </c>
      <c r="L4" s="2">
        <f>ROUNDDOWN(L2*0.01,2)</f>
        <v>18.19</v>
      </c>
      <c r="N4">
        <v>0.1516</v>
      </c>
      <c r="R4" t="s">
        <v>15</v>
      </c>
      <c r="S4" s="2">
        <f>ROUNDDOWN(W4*$X$2,2)</f>
        <v>18.19</v>
      </c>
      <c r="T4" s="2">
        <f>S4*4</f>
        <v>72.76</v>
      </c>
      <c r="U4" t="s">
        <v>16</v>
      </c>
      <c r="W4" s="5">
        <v>0.01</v>
      </c>
      <c r="X4">
        <v>120</v>
      </c>
      <c r="Y4" t="s">
        <v>17</v>
      </c>
      <c r="AA4" s="2">
        <f>S4/X4</f>
        <v>0.15158333333333335</v>
      </c>
      <c r="AB4" s="2"/>
    </row>
    <row r="5" spans="3:28" ht="15">
      <c r="C5" s="2"/>
      <c r="D5" s="2"/>
      <c r="E5" s="1"/>
      <c r="F5" s="3"/>
      <c r="G5" s="3"/>
      <c r="H5" s="2"/>
      <c r="R5" t="s">
        <v>18</v>
      </c>
      <c r="S5" s="2">
        <f>ROUNDDOWN(W5*$X$2,2)</f>
        <v>58.2</v>
      </c>
      <c r="T5" s="2">
        <f>S5*4</f>
        <v>232.8</v>
      </c>
      <c r="U5" t="s">
        <v>19</v>
      </c>
      <c r="W5" s="6">
        <v>0.032</v>
      </c>
      <c r="X5">
        <v>1100</v>
      </c>
      <c r="Y5" t="s">
        <v>17</v>
      </c>
      <c r="AA5" s="2">
        <f>S5/X5</f>
        <v>0.05290909090909091</v>
      </c>
      <c r="AB5" s="2"/>
    </row>
    <row r="6" spans="3:28" ht="15">
      <c r="C6" s="2"/>
      <c r="D6" s="2"/>
      <c r="E6" s="1"/>
      <c r="F6" s="3"/>
      <c r="G6" s="3"/>
      <c r="H6" s="2"/>
      <c r="AB6" s="2"/>
    </row>
    <row r="7" spans="3:28" ht="15">
      <c r="C7" s="2"/>
      <c r="D7" s="2"/>
      <c r="E7" s="1"/>
      <c r="F7" s="3"/>
      <c r="G7" s="3"/>
      <c r="H7" s="2"/>
      <c r="AB7" s="2"/>
    </row>
    <row r="8" spans="1:12" ht="15">
      <c r="A8" t="s">
        <v>20</v>
      </c>
      <c r="B8">
        <v>120</v>
      </c>
      <c r="C8" s="2">
        <v>25</v>
      </c>
      <c r="D8" s="2">
        <f>C8*4</f>
        <v>100</v>
      </c>
      <c r="E8" s="1"/>
      <c r="F8" s="3">
        <v>45</v>
      </c>
      <c r="G8" s="3">
        <v>90</v>
      </c>
      <c r="H8" s="2">
        <f>'Stawki - działalność'!$B8/1100*L$3</f>
        <v>6.349090909090909</v>
      </c>
      <c r="K8">
        <f>1500/1100*58.2</f>
        <v>79.36363636363636</v>
      </c>
      <c r="L8" s="7">
        <f>3.2%*1819</f>
        <v>58.208</v>
      </c>
    </row>
    <row r="9" spans="1:8" ht="15">
      <c r="A9" t="s">
        <v>20</v>
      </c>
      <c r="B9">
        <v>240</v>
      </c>
      <c r="C9" s="2">
        <v>37</v>
      </c>
      <c r="D9" s="2">
        <f>C9*4</f>
        <v>148</v>
      </c>
      <c r="E9" t="s">
        <v>21</v>
      </c>
      <c r="F9" s="2">
        <v>65</v>
      </c>
      <c r="G9" s="2">
        <v>130</v>
      </c>
      <c r="H9" s="2">
        <f>'Stawki - działalność'!$B9/1100*L$3</f>
        <v>12.698181818181817</v>
      </c>
    </row>
    <row r="10" spans="1:8" ht="15">
      <c r="A10" t="s">
        <v>20</v>
      </c>
      <c r="B10">
        <v>360</v>
      </c>
      <c r="C10" s="2">
        <v>50</v>
      </c>
      <c r="D10" s="2">
        <f>C10*4</f>
        <v>200</v>
      </c>
      <c r="E10" t="s">
        <v>21</v>
      </c>
      <c r="F10" s="2">
        <v>105</v>
      </c>
      <c r="G10" s="2">
        <v>200</v>
      </c>
      <c r="H10" s="2">
        <f>'Stawki - działalność'!$B10/1100*L$3</f>
        <v>19.047272727272727</v>
      </c>
    </row>
    <row r="11" spans="1:8" ht="15">
      <c r="A11" t="s">
        <v>20</v>
      </c>
      <c r="B11">
        <v>660</v>
      </c>
      <c r="C11" s="2">
        <v>80</v>
      </c>
      <c r="D11" s="2">
        <f>C11*4</f>
        <v>320</v>
      </c>
      <c r="E11" t="s">
        <v>21</v>
      </c>
      <c r="F11" s="2"/>
      <c r="G11" s="2"/>
      <c r="H11" s="2">
        <f>'Stawki - działalność'!$B11/1100*L$3</f>
        <v>34.92</v>
      </c>
    </row>
    <row r="12" spans="1:8" ht="15">
      <c r="A12" t="s">
        <v>20</v>
      </c>
      <c r="B12">
        <v>1100</v>
      </c>
      <c r="C12" s="2">
        <v>125</v>
      </c>
      <c r="D12" s="2">
        <f>C12*4</f>
        <v>500</v>
      </c>
      <c r="E12" t="s">
        <v>21</v>
      </c>
      <c r="F12" s="2">
        <v>300</v>
      </c>
      <c r="G12" s="2">
        <v>600</v>
      </c>
      <c r="H12" s="2">
        <f>'Stawki - działalność'!$B12/1100*L$3</f>
        <v>58.2</v>
      </c>
    </row>
    <row r="13" spans="3:8" ht="15">
      <c r="C13" s="4"/>
      <c r="D13" s="4"/>
      <c r="E13" t="s">
        <v>21</v>
      </c>
      <c r="F13" s="2"/>
      <c r="G13" s="2"/>
      <c r="H13" s="2">
        <f>'Stawki - działalność'!$B13/1100*L$3</f>
        <v>0</v>
      </c>
    </row>
    <row r="14" spans="3:8" ht="15">
      <c r="C14" s="4"/>
      <c r="D14" s="4"/>
      <c r="E14" t="s">
        <v>21</v>
      </c>
      <c r="F14" s="2"/>
      <c r="G14" s="2"/>
      <c r="H14" s="2">
        <f>'Stawki - działalność'!$B14/120*L$4</f>
        <v>0</v>
      </c>
    </row>
    <row r="15" spans="3:8" ht="15">
      <c r="C15" s="4"/>
      <c r="D15" s="4"/>
      <c r="E15" t="s">
        <v>22</v>
      </c>
      <c r="H15" s="2">
        <f>'Stawki - działalność'!$B15/120*L$4</f>
        <v>0</v>
      </c>
    </row>
    <row r="16" spans="3:4" ht="15">
      <c r="C16" s="4"/>
      <c r="D16" s="4"/>
    </row>
    <row r="23" spans="27:28" ht="15">
      <c r="AA23" s="2"/>
      <c r="AB23" s="2"/>
    </row>
    <row r="24" spans="27:28" ht="15">
      <c r="AA24" s="2"/>
      <c r="AB24" s="2"/>
    </row>
    <row r="25" spans="27:28" ht="15">
      <c r="AA25" s="2"/>
      <c r="AB25" s="2"/>
    </row>
    <row r="26" spans="27:28" ht="15">
      <c r="AA26" s="2"/>
      <c r="AB26" s="2"/>
    </row>
    <row r="27" spans="27:28" ht="15">
      <c r="AA27" s="2"/>
      <c r="AB27" s="2"/>
    </row>
    <row r="28" spans="27:28" ht="15">
      <c r="AA28" s="2"/>
      <c r="AB28" s="2"/>
    </row>
    <row r="29" spans="27:28" ht="15">
      <c r="AA29" s="2"/>
      <c r="AB29" s="2"/>
    </row>
    <row r="30" ht="15">
      <c r="AB30" s="2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27.421875" style="0" customWidth="1"/>
    <col min="2" max="2" width="22.57421875" style="0" customWidth="1"/>
    <col min="3" max="3" width="31.28125" style="0" customWidth="1"/>
  </cols>
  <sheetData>
    <row r="1" spans="1:3" ht="15">
      <c r="A1" t="s">
        <v>38</v>
      </c>
      <c r="B1" t="s">
        <v>39</v>
      </c>
      <c r="C1" t="s">
        <v>40</v>
      </c>
    </row>
    <row r="2" spans="1:3" ht="15">
      <c r="A2" t="s">
        <v>42</v>
      </c>
      <c r="B2">
        <v>20</v>
      </c>
      <c r="C2">
        <f>ROUNDDOWN('Ilość odbioru odpadów'!$B2/12,2)</f>
        <v>1.66</v>
      </c>
    </row>
    <row r="3" spans="1:3" ht="15">
      <c r="A3" t="s">
        <v>32</v>
      </c>
      <c r="B3">
        <v>12</v>
      </c>
      <c r="C3">
        <f>ROUNDDOWN('Ilość odbioru odpadów'!$B3/12,2)</f>
        <v>1</v>
      </c>
    </row>
    <row r="4" spans="1:3" ht="15">
      <c r="A4" t="s">
        <v>33</v>
      </c>
      <c r="B4">
        <v>2</v>
      </c>
      <c r="C4">
        <f>ROUNDDOWN('Ilość odbioru odpadów'!$B4/12,2)</f>
        <v>0.16</v>
      </c>
    </row>
    <row r="5" spans="1:3" ht="15">
      <c r="A5" t="s">
        <v>34</v>
      </c>
      <c r="B5">
        <v>4</v>
      </c>
      <c r="C5">
        <f>ROUNDDOWN('Ilość odbioru odpadów'!$B5/12,2)</f>
        <v>0.33</v>
      </c>
    </row>
    <row r="6" spans="1:3" ht="15">
      <c r="A6" t="s">
        <v>35</v>
      </c>
      <c r="B6">
        <v>8</v>
      </c>
      <c r="C6">
        <f>ROUNDDOWN('Ilość odbioru odpadów'!$B6/12,2)</f>
        <v>0.66</v>
      </c>
    </row>
    <row r="7" spans="1:3" ht="15">
      <c r="A7" t="s">
        <v>30</v>
      </c>
      <c r="B7">
        <v>21</v>
      </c>
      <c r="C7">
        <f>ROUNDDOWN('Ilość odbioru odpadów'!$B7/12,2)</f>
        <v>1.75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Lipski Paweł</dc:creator>
  <cp:keywords/>
  <dc:description/>
  <cp:lastModifiedBy>Elżbieta Nierzalewska</cp:lastModifiedBy>
  <cp:lastPrinted>2023-03-09T10:56:54Z</cp:lastPrinted>
  <dcterms:created xsi:type="dcterms:W3CDTF">2021-01-04T11:25:45Z</dcterms:created>
  <dcterms:modified xsi:type="dcterms:W3CDTF">2023-03-17T09:01:32Z</dcterms:modified>
  <cp:category/>
  <cp:version/>
  <cp:contentType/>
  <cp:contentStatus/>
</cp:coreProperties>
</file>